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OPCC\Governance\Joint Management Board\Meetings\2021 -2022\June 2021\Website\"/>
    </mc:Choice>
  </mc:AlternateContent>
  <xr:revisionPtr revIDLastSave="0" documentId="13_ncr:1_{ED072D1C-34D2-45F1-AE8C-3B79B8635E5E}" xr6:coauthVersionLast="47" xr6:coauthVersionMax="47" xr10:uidLastSave="{00000000-0000-0000-0000-000000000000}"/>
  <bookViews>
    <workbookView xWindow="28680" yWindow="-120" windowWidth="29040" windowHeight="15990" activeTab="4" xr2:uid="{6B55F8A3-FDDE-4E4E-B665-BC53790F9EA4}"/>
  </bookViews>
  <sheets>
    <sheet name="FINAL 21-22" sheetId="2" r:id="rId1"/>
    <sheet name=" Summary 21-22" sheetId="4" r:id="rId2"/>
    <sheet name="Financing" sheetId="5" r:id="rId3"/>
    <sheet name="Original Budget Upload" sheetId="6" r:id="rId4"/>
    <sheet name="Cf Budget Upload " sheetId="7" r:id="rId5"/>
  </sheets>
  <definedNames>
    <definedName name="admin">#REF!</definedName>
    <definedName name="conf">#REF!</definedName>
    <definedName name="COSTCENTREBREAKDOWN">#REF!</definedName>
    <definedName name="GRAPHCOSTCENTRE">#REF!</definedName>
    <definedName name="info">#REF!</definedName>
    <definedName name="intel">#REF!</definedName>
    <definedName name="major">#REF!</definedName>
    <definedName name="millennium">#REF!</definedName>
    <definedName name="natradio">#REF!</definedName>
    <definedName name="ocu">#REF!</definedName>
    <definedName name="ops">#REF!</definedName>
    <definedName name="opsstrategy">#REF!</definedName>
    <definedName name="partner">#REF!</definedName>
    <definedName name="perform">#REF!</definedName>
    <definedName name="policy">#REF!</definedName>
    <definedName name="print">#REF!</definedName>
    <definedName name="_xlnm.Print_Area" localSheetId="2">Financing!$A$1:$K$151</definedName>
    <definedName name="radio">#REF!</definedName>
    <definedName name="science">#REF!</definedName>
    <definedName name="sio">#REF!</definedName>
    <definedName name="STAFFCOSTSCHART">#REF!</definedName>
    <definedName name="staffofficer">#REF!</definedName>
    <definedName name="TableName">"Dummy"</definedName>
    <definedName name="vmufleet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4" i="7" l="1"/>
  <c r="I4" i="7"/>
  <c r="W4" i="7"/>
  <c r="E5" i="7"/>
  <c r="I5" i="7"/>
  <c r="W5" i="7"/>
  <c r="E6" i="7"/>
  <c r="I6" i="7"/>
  <c r="W6" i="7" s="1"/>
  <c r="E7" i="7"/>
  <c r="I7" i="7"/>
  <c r="W7" i="7"/>
  <c r="E8" i="7"/>
  <c r="I8" i="7"/>
  <c r="W8" i="7"/>
  <c r="E9" i="7"/>
  <c r="I9" i="7"/>
  <c r="W9" i="7" s="1"/>
  <c r="E10" i="7"/>
  <c r="I10" i="7"/>
  <c r="W10" i="7" s="1"/>
  <c r="E11" i="7"/>
  <c r="I11" i="7"/>
  <c r="W11" i="7"/>
  <c r="E12" i="7"/>
  <c r="I12" i="7"/>
  <c r="W12" i="7"/>
  <c r="E13" i="7"/>
  <c r="I13" i="7"/>
  <c r="W13" i="7" s="1"/>
  <c r="E14" i="7"/>
  <c r="I14" i="7"/>
  <c r="W14" i="7" s="1"/>
  <c r="E15" i="7"/>
  <c r="I15" i="7"/>
  <c r="W15" i="7"/>
  <c r="E16" i="7"/>
  <c r="I16" i="7"/>
  <c r="W16" i="7"/>
  <c r="E17" i="7"/>
  <c r="W17" i="7"/>
  <c r="E18" i="7"/>
  <c r="I18" i="7"/>
  <c r="W18" i="7" s="1"/>
  <c r="E19" i="7"/>
  <c r="I19" i="7"/>
  <c r="W19" i="7"/>
  <c r="E20" i="7"/>
  <c r="I20" i="7"/>
  <c r="W20" i="7"/>
  <c r="E21" i="7"/>
  <c r="I21" i="7"/>
  <c r="W21" i="7" s="1"/>
  <c r="E22" i="7"/>
  <c r="I22" i="7"/>
  <c r="W22" i="7" s="1"/>
  <c r="E23" i="7"/>
  <c r="I23" i="7"/>
  <c r="W23" i="7"/>
  <c r="E24" i="7"/>
  <c r="I24" i="7"/>
  <c r="W24" i="7" s="1"/>
  <c r="E25" i="7"/>
  <c r="I25" i="7"/>
  <c r="W25" i="7" s="1"/>
  <c r="E26" i="7"/>
  <c r="I26" i="7"/>
  <c r="W26" i="7" s="1"/>
  <c r="E27" i="7"/>
  <c r="I27" i="7"/>
  <c r="W27" i="7"/>
  <c r="E28" i="7"/>
  <c r="I28" i="7"/>
  <c r="W28" i="7"/>
  <c r="E29" i="7"/>
  <c r="I29" i="7"/>
  <c r="W29" i="7" s="1"/>
  <c r="E30" i="7"/>
  <c r="I30" i="7"/>
  <c r="W30" i="7" s="1"/>
  <c r="E31" i="7"/>
  <c r="I31" i="7"/>
  <c r="W31" i="7"/>
  <c r="E32" i="7"/>
  <c r="I32" i="7"/>
  <c r="W32" i="7"/>
  <c r="E33" i="7"/>
  <c r="I33" i="7"/>
  <c r="W33" i="7" s="1"/>
  <c r="E34" i="7"/>
  <c r="I34" i="7"/>
  <c r="W34" i="7" s="1"/>
  <c r="E35" i="7"/>
  <c r="I35" i="7"/>
  <c r="W35" i="7"/>
  <c r="E36" i="7"/>
  <c r="I36" i="7"/>
  <c r="W36" i="7" s="1"/>
  <c r="E37" i="7"/>
  <c r="I37" i="7"/>
  <c r="W37" i="7"/>
  <c r="E38" i="7"/>
  <c r="I38" i="7"/>
  <c r="W38" i="7" s="1"/>
  <c r="E39" i="7"/>
  <c r="I39" i="7"/>
  <c r="W39" i="7"/>
  <c r="E40" i="7"/>
  <c r="I40" i="7"/>
  <c r="W40" i="7" s="1"/>
  <c r="E41" i="7"/>
  <c r="I41" i="7"/>
  <c r="W41" i="7"/>
  <c r="E42" i="7"/>
  <c r="I42" i="7"/>
  <c r="W42" i="7" s="1"/>
  <c r="E43" i="7"/>
  <c r="I43" i="7"/>
  <c r="W43" i="7"/>
  <c r="E44" i="7"/>
  <c r="I44" i="7"/>
  <c r="W44" i="7" s="1"/>
  <c r="E45" i="7"/>
  <c r="I45" i="7"/>
  <c r="W45" i="7"/>
  <c r="E46" i="7"/>
  <c r="I46" i="7"/>
  <c r="W46" i="7" s="1"/>
  <c r="E47" i="7"/>
  <c r="I47" i="7"/>
  <c r="W47" i="7"/>
  <c r="E48" i="7"/>
  <c r="I48" i="7"/>
  <c r="W48" i="7" s="1"/>
  <c r="E49" i="7"/>
  <c r="I49" i="7"/>
  <c r="W49" i="7"/>
  <c r="E50" i="7"/>
  <c r="I50" i="7"/>
  <c r="W50" i="7" s="1"/>
  <c r="E51" i="7"/>
  <c r="I51" i="7"/>
  <c r="W51" i="7"/>
  <c r="E52" i="7"/>
  <c r="I52" i="7"/>
  <c r="W52" i="7" s="1"/>
  <c r="E53" i="7"/>
  <c r="I53" i="7"/>
  <c r="W53" i="7"/>
  <c r="E54" i="7"/>
  <c r="I54" i="7"/>
  <c r="W54" i="7" s="1"/>
  <c r="E55" i="7"/>
  <c r="I55" i="7"/>
  <c r="W55" i="7"/>
  <c r="E56" i="7"/>
  <c r="I56" i="7"/>
  <c r="W56" i="7" s="1"/>
  <c r="E57" i="7"/>
  <c r="I57" i="7"/>
  <c r="W57" i="7"/>
  <c r="E58" i="7"/>
  <c r="I58" i="7"/>
  <c r="W58" i="7" s="1"/>
  <c r="E59" i="7"/>
  <c r="I59" i="7"/>
  <c r="W59" i="7"/>
  <c r="W3" i="7"/>
  <c r="W2" i="7" s="1"/>
  <c r="I3" i="7"/>
  <c r="I2" i="7" s="1"/>
  <c r="E3" i="7"/>
  <c r="E29" i="6"/>
  <c r="E30" i="6"/>
  <c r="E31" i="6"/>
  <c r="E32" i="6"/>
  <c r="E33" i="6"/>
  <c r="E34" i="6"/>
  <c r="E35" i="6"/>
  <c r="E36" i="6"/>
  <c r="E37" i="6"/>
  <c r="E38" i="6"/>
  <c r="E39" i="6"/>
  <c r="E40" i="6"/>
  <c r="E41" i="6"/>
  <c r="E42" i="6"/>
  <c r="E43" i="6"/>
  <c r="E44" i="6"/>
  <c r="E5" i="6"/>
  <c r="E6" i="6"/>
  <c r="E7" i="6"/>
  <c r="E8" i="6"/>
  <c r="E9" i="6"/>
  <c r="E10" i="6"/>
  <c r="E11" i="6"/>
  <c r="E12" i="6"/>
  <c r="E13" i="6"/>
  <c r="E14" i="6"/>
  <c r="E15" i="6"/>
  <c r="E16" i="6"/>
  <c r="E17" i="6"/>
  <c r="E18" i="6"/>
  <c r="E19" i="6"/>
  <c r="E20" i="6"/>
  <c r="E21" i="6"/>
  <c r="E22" i="6"/>
  <c r="E23" i="6"/>
  <c r="E24" i="6"/>
  <c r="E25" i="6"/>
  <c r="E26" i="6"/>
  <c r="E27" i="6"/>
  <c r="E28" i="6"/>
  <c r="E4" i="6"/>
  <c r="I4" i="6"/>
  <c r="W4" i="6" s="1"/>
  <c r="I5" i="6"/>
  <c r="W5" i="6" s="1"/>
  <c r="I6" i="6"/>
  <c r="W6" i="6" s="1"/>
  <c r="I7" i="6"/>
  <c r="W7" i="6" s="1"/>
  <c r="I8" i="6"/>
  <c r="W8" i="6" s="1"/>
  <c r="I9" i="6"/>
  <c r="W9" i="6" s="1"/>
  <c r="I10" i="6"/>
  <c r="W10" i="6" s="1"/>
  <c r="I11" i="6"/>
  <c r="W11" i="6" s="1"/>
  <c r="I12" i="6"/>
  <c r="W12" i="6" s="1"/>
  <c r="I13" i="6"/>
  <c r="W13" i="6" s="1"/>
  <c r="I14" i="6"/>
  <c r="W14" i="6" s="1"/>
  <c r="I15" i="6"/>
  <c r="W15" i="6" s="1"/>
  <c r="I16" i="6"/>
  <c r="W16" i="6" s="1"/>
  <c r="I17" i="6"/>
  <c r="W17" i="6" s="1"/>
  <c r="I18" i="6"/>
  <c r="W18" i="6" s="1"/>
  <c r="I19" i="6"/>
  <c r="W19" i="6" s="1"/>
  <c r="I20" i="6"/>
  <c r="W20" i="6" s="1"/>
  <c r="I21" i="6"/>
  <c r="W21" i="6" s="1"/>
  <c r="I22" i="6"/>
  <c r="W22" i="6" s="1"/>
  <c r="I23" i="6"/>
  <c r="W23" i="6" s="1"/>
  <c r="I24" i="6"/>
  <c r="W24" i="6" s="1"/>
  <c r="I25" i="6"/>
  <c r="W25" i="6" s="1"/>
  <c r="I26" i="6"/>
  <c r="W26" i="6" s="1"/>
  <c r="I27" i="6"/>
  <c r="W27" i="6" s="1"/>
  <c r="I28" i="6"/>
  <c r="W28" i="6" s="1"/>
  <c r="I29" i="6"/>
  <c r="W29" i="6" s="1"/>
  <c r="I30" i="6"/>
  <c r="W30" i="6" s="1"/>
  <c r="I31" i="6"/>
  <c r="W31" i="6" s="1"/>
  <c r="I32" i="6"/>
  <c r="W32" i="6" s="1"/>
  <c r="I33" i="6"/>
  <c r="W33" i="6" s="1"/>
  <c r="I34" i="6"/>
  <c r="W34" i="6" s="1"/>
  <c r="I35" i="6"/>
  <c r="W35" i="6" s="1"/>
  <c r="I36" i="6"/>
  <c r="W36" i="6" s="1"/>
  <c r="I37" i="6"/>
  <c r="W37" i="6" s="1"/>
  <c r="I38" i="6"/>
  <c r="W38" i="6" s="1"/>
  <c r="I39" i="6"/>
  <c r="W39" i="6" s="1"/>
  <c r="I40" i="6"/>
  <c r="W40" i="6" s="1"/>
  <c r="I41" i="6"/>
  <c r="W41" i="6" s="1"/>
  <c r="I42" i="6"/>
  <c r="W42" i="6" s="1"/>
  <c r="I43" i="6"/>
  <c r="W43" i="6" s="1"/>
  <c r="I44" i="6"/>
  <c r="W44" i="6" s="1"/>
  <c r="I3" i="6"/>
  <c r="I2" i="6" l="1"/>
  <c r="W3" i="6"/>
  <c r="W2" i="6" s="1"/>
  <c r="E117" i="2" l="1"/>
  <c r="J117" i="2" s="1"/>
  <c r="E118" i="2"/>
  <c r="J118" i="2" s="1"/>
  <c r="J137" i="2"/>
  <c r="J132" i="2"/>
  <c r="J128" i="2"/>
  <c r="J114" i="2"/>
  <c r="J106" i="2"/>
  <c r="J102" i="2"/>
  <c r="J98" i="2"/>
  <c r="J94" i="2"/>
  <c r="J90" i="2"/>
  <c r="J69" i="2"/>
  <c r="J65" i="2"/>
  <c r="J61" i="2"/>
  <c r="J57" i="2"/>
  <c r="J53" i="2"/>
  <c r="J47" i="2"/>
  <c r="J43" i="2"/>
  <c r="J34" i="2"/>
  <c r="J27" i="2"/>
  <c r="J20" i="2"/>
  <c r="J16" i="2"/>
  <c r="E17" i="2"/>
  <c r="J17" i="2" s="1"/>
  <c r="E18" i="2"/>
  <c r="J18" i="2" s="1"/>
  <c r="E19" i="2"/>
  <c r="E20" i="2"/>
  <c r="E21" i="2"/>
  <c r="J21" i="2" s="1"/>
  <c r="E22" i="2"/>
  <c r="J22" i="2" s="1"/>
  <c r="E23" i="2"/>
  <c r="J23" i="2" s="1"/>
  <c r="E24" i="2"/>
  <c r="J24" i="2" s="1"/>
  <c r="E25" i="2"/>
  <c r="J25" i="2" s="1"/>
  <c r="E26" i="2"/>
  <c r="J26" i="2" s="1"/>
  <c r="E27" i="2"/>
  <c r="E28" i="2"/>
  <c r="J28" i="2" s="1"/>
  <c r="E29" i="2"/>
  <c r="J29" i="2" s="1"/>
  <c r="E30" i="2"/>
  <c r="J30" i="2" s="1"/>
  <c r="E41" i="2"/>
  <c r="J41" i="2" s="1"/>
  <c r="E42" i="2"/>
  <c r="J42" i="2" s="1"/>
  <c r="E43" i="2"/>
  <c r="E44" i="2"/>
  <c r="J44" i="2" s="1"/>
  <c r="E45" i="2"/>
  <c r="J45" i="2" s="1"/>
  <c r="E46" i="2"/>
  <c r="J46" i="2" s="1"/>
  <c r="E47" i="2"/>
  <c r="E48" i="2"/>
  <c r="J48" i="2" s="1"/>
  <c r="E49" i="2"/>
  <c r="J49" i="2" s="1"/>
  <c r="E50" i="2"/>
  <c r="J50" i="2" s="1"/>
  <c r="E51" i="2"/>
  <c r="J51" i="2" s="1"/>
  <c r="E52" i="2"/>
  <c r="J52" i="2" s="1"/>
  <c r="E53" i="2"/>
  <c r="E54" i="2"/>
  <c r="J54" i="2" s="1"/>
  <c r="E55" i="2"/>
  <c r="J55" i="2" s="1"/>
  <c r="E56" i="2"/>
  <c r="J56" i="2" s="1"/>
  <c r="E57" i="2"/>
  <c r="E58" i="2"/>
  <c r="J58" i="2" s="1"/>
  <c r="E59" i="2"/>
  <c r="J59" i="2" s="1"/>
  <c r="E60" i="2"/>
  <c r="J60" i="2" s="1"/>
  <c r="E61" i="2"/>
  <c r="E62" i="2"/>
  <c r="J62" i="2" s="1"/>
  <c r="E63" i="2"/>
  <c r="J63" i="2" s="1"/>
  <c r="E64" i="2"/>
  <c r="J64" i="2" s="1"/>
  <c r="E65" i="2"/>
  <c r="E66" i="2"/>
  <c r="J66" i="2" s="1"/>
  <c r="E67" i="2"/>
  <c r="J67" i="2" s="1"/>
  <c r="E68" i="2"/>
  <c r="J68" i="2" s="1"/>
  <c r="E69" i="2"/>
  <c r="E70" i="2"/>
  <c r="J70" i="2" s="1"/>
  <c r="E71" i="2"/>
  <c r="J71" i="2" s="1"/>
  <c r="E72" i="2"/>
  <c r="J72" i="2" s="1"/>
  <c r="D123" i="2"/>
  <c r="E127" i="2"/>
  <c r="J127" i="2" s="1"/>
  <c r="E129" i="2"/>
  <c r="J129" i="2" s="1"/>
  <c r="E130" i="2"/>
  <c r="J130" i="2" s="1"/>
  <c r="E131" i="2"/>
  <c r="J131" i="2" s="1"/>
  <c r="E132" i="2"/>
  <c r="E133" i="2"/>
  <c r="J133" i="2" s="1"/>
  <c r="E134" i="2"/>
  <c r="J134" i="2" s="1"/>
  <c r="E135" i="2"/>
  <c r="J135" i="2" s="1"/>
  <c r="E136" i="2"/>
  <c r="J136" i="2" s="1"/>
  <c r="E137" i="2"/>
  <c r="E138" i="2"/>
  <c r="J138" i="2" s="1"/>
  <c r="D115" i="2"/>
  <c r="E115" i="2" s="1"/>
  <c r="J115" i="2" s="1"/>
  <c r="D89" i="2"/>
  <c r="D114" i="2"/>
  <c r="E114" i="2" s="1"/>
  <c r="D110" i="2"/>
  <c r="E110" i="2" s="1"/>
  <c r="J110" i="2" s="1"/>
  <c r="D97" i="2"/>
  <c r="E88" i="2"/>
  <c r="J88" i="2" s="1"/>
  <c r="D90" i="2"/>
  <c r="E90" i="2" s="1"/>
  <c r="D87" i="2"/>
  <c r="E87" i="2" s="1"/>
  <c r="J87" i="2" s="1"/>
  <c r="D128" i="2"/>
  <c r="E128" i="2" s="1"/>
  <c r="E126" i="2"/>
  <c r="J126" i="2" s="1"/>
  <c r="E119" i="2"/>
  <c r="J119" i="2" s="1"/>
  <c r="E116" i="2"/>
  <c r="J116" i="2" s="1"/>
  <c r="E113" i="2"/>
  <c r="J113" i="2" s="1"/>
  <c r="E112" i="2"/>
  <c r="J112" i="2" s="1"/>
  <c r="E111" i="2"/>
  <c r="J111" i="2" s="1"/>
  <c r="E109" i="2"/>
  <c r="J109" i="2" s="1"/>
  <c r="E108" i="2"/>
  <c r="J108" i="2" s="1"/>
  <c r="E107" i="2"/>
  <c r="J107" i="2" s="1"/>
  <c r="E106" i="2"/>
  <c r="E105" i="2"/>
  <c r="J105" i="2" s="1"/>
  <c r="E104" i="2"/>
  <c r="J104" i="2" s="1"/>
  <c r="E103" i="2"/>
  <c r="J103" i="2" s="1"/>
  <c r="E102" i="2"/>
  <c r="E101" i="2"/>
  <c r="J101" i="2" s="1"/>
  <c r="E100" i="2"/>
  <c r="J100" i="2" s="1"/>
  <c r="E99" i="2"/>
  <c r="J99" i="2" s="1"/>
  <c r="E98" i="2"/>
  <c r="E97" i="2"/>
  <c r="J97" i="2" s="1"/>
  <c r="E96" i="2"/>
  <c r="J96" i="2" s="1"/>
  <c r="E95" i="2"/>
  <c r="J95" i="2" s="1"/>
  <c r="E94" i="2"/>
  <c r="E93" i="2"/>
  <c r="J93" i="2" s="1"/>
  <c r="E92" i="2"/>
  <c r="J92" i="2" s="1"/>
  <c r="E91" i="2"/>
  <c r="J91" i="2" s="1"/>
  <c r="E89" i="2"/>
  <c r="J89" i="2" s="1"/>
  <c r="E77" i="2"/>
  <c r="J77" i="2" s="1"/>
  <c r="E40" i="2"/>
  <c r="J40" i="2" s="1"/>
  <c r="E34" i="2"/>
  <c r="E16" i="2"/>
  <c r="E10" i="2"/>
  <c r="J10" i="2" s="1"/>
  <c r="E9" i="2"/>
  <c r="J9" i="2" s="1"/>
  <c r="D121" i="2" l="1"/>
  <c r="E123" i="2"/>
  <c r="J123" i="2" s="1"/>
  <c r="C73" i="2" l="1"/>
  <c r="D73" i="2"/>
  <c r="C36" i="2"/>
  <c r="D36" i="2"/>
  <c r="C31" i="2"/>
  <c r="D31" i="2"/>
  <c r="D12" i="2"/>
  <c r="B140" i="2"/>
  <c r="C140" i="2"/>
  <c r="D140" i="2"/>
  <c r="C82" i="2"/>
  <c r="D82" i="2"/>
  <c r="E82" i="2"/>
  <c r="E73" i="2"/>
  <c r="F73" i="2"/>
  <c r="G73" i="2"/>
  <c r="H73" i="2"/>
  <c r="I73" i="2"/>
  <c r="B73" i="2"/>
  <c r="C84" i="2" l="1"/>
  <c r="C142" i="2" s="1"/>
  <c r="D84" i="2"/>
  <c r="D142" i="2" s="1"/>
  <c r="C80" i="4" l="1"/>
  <c r="D80" i="4"/>
  <c r="E80" i="4"/>
  <c r="F80" i="4"/>
  <c r="B81" i="4"/>
  <c r="C81" i="4"/>
  <c r="D81" i="4"/>
  <c r="E81" i="4"/>
  <c r="F81" i="4"/>
  <c r="D83" i="4"/>
  <c r="E83" i="4"/>
  <c r="F83" i="4"/>
  <c r="C83" i="4"/>
  <c r="D82" i="4"/>
  <c r="E82" i="4"/>
  <c r="F82" i="4"/>
  <c r="C82" i="4"/>
  <c r="G79" i="4"/>
  <c r="G77" i="4"/>
  <c r="C74" i="4"/>
  <c r="D74" i="4"/>
  <c r="D92" i="4" s="1"/>
  <c r="E74" i="4"/>
  <c r="E92" i="4" s="1"/>
  <c r="F74" i="4"/>
  <c r="B74" i="4"/>
  <c r="G88" i="4"/>
  <c r="G90" i="4"/>
  <c r="G72" i="4"/>
  <c r="G74" i="4" s="1"/>
  <c r="G73" i="4"/>
  <c r="C92" i="4"/>
  <c r="F92" i="4"/>
  <c r="D84" i="4" l="1"/>
  <c r="C84" i="4"/>
  <c r="F84" i="4"/>
  <c r="G81" i="4"/>
  <c r="G83" i="4"/>
  <c r="E84" i="4"/>
  <c r="G92" i="4"/>
  <c r="I151" i="5"/>
  <c r="H151" i="5"/>
  <c r="G151" i="5"/>
  <c r="F151" i="5"/>
  <c r="D151" i="5"/>
  <c r="E149" i="5"/>
  <c r="E151" i="5" s="1"/>
  <c r="K148" i="5"/>
  <c r="B148" i="5"/>
  <c r="B147" i="5"/>
  <c r="K147" i="5" s="1"/>
  <c r="K146" i="5"/>
  <c r="C151" i="5"/>
  <c r="B145" i="5"/>
  <c r="I143" i="5"/>
  <c r="H143" i="5"/>
  <c r="G143" i="5"/>
  <c r="F143" i="5"/>
  <c r="D143" i="5"/>
  <c r="E141" i="5"/>
  <c r="E143" i="5" s="1"/>
  <c r="B140" i="5"/>
  <c r="K140" i="5" s="1"/>
  <c r="B139" i="5"/>
  <c r="K139" i="5" s="1"/>
  <c r="K138" i="5"/>
  <c r="C137" i="5"/>
  <c r="C143" i="5" s="1"/>
  <c r="B137" i="5"/>
  <c r="K135" i="5"/>
  <c r="K119" i="5"/>
  <c r="B131" i="5"/>
  <c r="B123" i="5"/>
  <c r="K123" i="5" s="1"/>
  <c r="C129" i="5"/>
  <c r="B129" i="5"/>
  <c r="I135" i="5"/>
  <c r="H135" i="5"/>
  <c r="G135" i="5"/>
  <c r="F135" i="5"/>
  <c r="D135" i="5"/>
  <c r="E133" i="5"/>
  <c r="E135" i="5" s="1"/>
  <c r="K132" i="5"/>
  <c r="B132" i="5"/>
  <c r="K131" i="5"/>
  <c r="K130" i="5"/>
  <c r="B124" i="5"/>
  <c r="K125" i="5"/>
  <c r="E125" i="5"/>
  <c r="K124" i="5"/>
  <c r="K122" i="5"/>
  <c r="K127" i="5" s="1"/>
  <c r="B113" i="5"/>
  <c r="B112" i="5"/>
  <c r="B110" i="5"/>
  <c r="B116" i="5"/>
  <c r="B151" i="5" l="1"/>
  <c r="K149" i="5"/>
  <c r="K151" i="5" s="1"/>
  <c r="J145" i="5"/>
  <c r="J151" i="5" s="1"/>
  <c r="B143" i="5"/>
  <c r="K141" i="5"/>
  <c r="K143" i="5" s="1"/>
  <c r="J137" i="5"/>
  <c r="J143" i="5" s="1"/>
  <c r="J129" i="5"/>
  <c r="K133" i="5"/>
  <c r="E117" i="5" l="1"/>
  <c r="K114" i="5" l="1"/>
  <c r="K115" i="5"/>
  <c r="K116" i="5"/>
  <c r="K117" i="5"/>
  <c r="K113" i="5" l="1"/>
  <c r="K112" i="5"/>
  <c r="K111" i="5"/>
  <c r="B100" i="5" l="1"/>
  <c r="C100" i="5" s="1"/>
  <c r="C85" i="5"/>
  <c r="D28" i="4" l="1"/>
  <c r="D29" i="4"/>
  <c r="D30" i="4"/>
  <c r="D27" i="4"/>
  <c r="F19" i="2"/>
  <c r="J19" i="2" s="1"/>
  <c r="D31" i="4" l="1"/>
  <c r="K46" i="5"/>
  <c r="K81" i="5" s="1"/>
  <c r="J28" i="5"/>
  <c r="J29" i="5"/>
  <c r="J30" i="5"/>
  <c r="J33" i="5"/>
  <c r="J34" i="5"/>
  <c r="J35" i="5"/>
  <c r="J37" i="5"/>
  <c r="J38" i="5"/>
  <c r="J39" i="5"/>
  <c r="J40" i="5"/>
  <c r="J41" i="5"/>
  <c r="J43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9" i="5"/>
  <c r="E44" i="5"/>
  <c r="J44" i="5" s="1"/>
  <c r="C42" i="5"/>
  <c r="J42" i="5" s="1"/>
  <c r="B36" i="5"/>
  <c r="J36" i="5" s="1"/>
  <c r="C32" i="5"/>
  <c r="B32" i="5"/>
  <c r="C31" i="5"/>
  <c r="J31" i="5" s="1"/>
  <c r="J32" i="5" l="1"/>
  <c r="J46" i="5" s="1"/>
  <c r="B46" i="5" l="1"/>
  <c r="C46" i="5"/>
  <c r="C81" i="5" s="1"/>
  <c r="D46" i="5"/>
  <c r="D81" i="5" s="1"/>
  <c r="E46" i="5"/>
  <c r="E81" i="5" s="1"/>
  <c r="F46" i="5"/>
  <c r="F81" i="5" s="1"/>
  <c r="H46" i="5"/>
  <c r="H81" i="5" s="1"/>
  <c r="I46" i="5"/>
  <c r="I81" i="5" s="1"/>
  <c r="G46" i="5"/>
  <c r="G81" i="5" s="1"/>
  <c r="E104" i="5" l="1"/>
  <c r="E94" i="5" l="1"/>
  <c r="B95" i="5"/>
  <c r="E103" i="5"/>
  <c r="K103" i="5" s="1"/>
  <c r="B102" i="5"/>
  <c r="K102" i="5" s="1"/>
  <c r="E101" i="5"/>
  <c r="K99" i="5"/>
  <c r="B96" i="5"/>
  <c r="E96" i="5"/>
  <c r="E98" i="5"/>
  <c r="K98" i="5" s="1"/>
  <c r="C97" i="5"/>
  <c r="K97" i="5" s="1"/>
  <c r="K101" i="5"/>
  <c r="C93" i="5"/>
  <c r="K93" i="5" s="1"/>
  <c r="E92" i="5"/>
  <c r="J91" i="5"/>
  <c r="K91" i="5" s="1"/>
  <c r="E90" i="5"/>
  <c r="K90" i="5" s="1"/>
  <c r="B87" i="5"/>
  <c r="C87" i="5" s="1"/>
  <c r="K87" i="5" s="1"/>
  <c r="B89" i="5"/>
  <c r="E86" i="5"/>
  <c r="B86" i="5"/>
  <c r="K85" i="5"/>
  <c r="K88" i="5"/>
  <c r="K100" i="5"/>
  <c r="J79" i="5"/>
  <c r="J80" i="5"/>
  <c r="J77" i="5"/>
  <c r="J78" i="5"/>
  <c r="B50" i="5"/>
  <c r="B108" i="5" s="1"/>
  <c r="B121" i="5" l="1"/>
  <c r="J108" i="5"/>
  <c r="C95" i="5"/>
  <c r="K95" i="5" s="1"/>
  <c r="C94" i="5"/>
  <c r="C96" i="5"/>
  <c r="K96" i="5" s="1"/>
  <c r="C89" i="5"/>
  <c r="K89" i="5" s="1"/>
  <c r="C86" i="5"/>
  <c r="K86" i="5" s="1"/>
  <c r="J121" i="5" l="1"/>
  <c r="K94" i="5"/>
  <c r="J51" i="5"/>
  <c r="J53" i="5"/>
  <c r="J55" i="5"/>
  <c r="J56" i="5"/>
  <c r="J57" i="5"/>
  <c r="J58" i="5"/>
  <c r="J59" i="5"/>
  <c r="J60" i="5"/>
  <c r="J61" i="5"/>
  <c r="J63" i="5"/>
  <c r="J64" i="5"/>
  <c r="J66" i="5"/>
  <c r="J67" i="5"/>
  <c r="J68" i="5"/>
  <c r="J69" i="5"/>
  <c r="J70" i="5"/>
  <c r="J71" i="5"/>
  <c r="J72" i="5"/>
  <c r="J73" i="5"/>
  <c r="J74" i="5"/>
  <c r="J75" i="5"/>
  <c r="J76" i="5"/>
  <c r="J50" i="5"/>
  <c r="D106" i="5"/>
  <c r="D119" i="5" s="1"/>
  <c r="D127" i="5" s="1"/>
  <c r="E106" i="5"/>
  <c r="E119" i="5" s="1"/>
  <c r="E127" i="5" s="1"/>
  <c r="F106" i="5"/>
  <c r="F119" i="5" s="1"/>
  <c r="F127" i="5" s="1"/>
  <c r="G106" i="5"/>
  <c r="G119" i="5" s="1"/>
  <c r="G127" i="5" s="1"/>
  <c r="H106" i="5"/>
  <c r="H119" i="5" s="1"/>
  <c r="H127" i="5" s="1"/>
  <c r="I106" i="5"/>
  <c r="I119" i="5" s="1"/>
  <c r="I127" i="5" s="1"/>
  <c r="B65" i="5"/>
  <c r="J65" i="5" s="1"/>
  <c r="B62" i="5"/>
  <c r="B54" i="5"/>
  <c r="B104" i="5" s="1"/>
  <c r="J54" i="5" l="1"/>
  <c r="J62" i="5"/>
  <c r="J81" i="5" s="1"/>
  <c r="B92" i="5"/>
  <c r="K92" i="5" s="1"/>
  <c r="B81" i="5"/>
  <c r="J106" i="5" l="1"/>
  <c r="J119" i="5" s="1"/>
  <c r="J127" i="5" s="1"/>
  <c r="J135" i="5" s="1"/>
  <c r="B106" i="5"/>
  <c r="B119" i="5" s="1"/>
  <c r="B127" i="5" s="1"/>
  <c r="B135" i="5" s="1"/>
  <c r="C106" i="5"/>
  <c r="C119" i="5" s="1"/>
  <c r="C127" i="5" s="1"/>
  <c r="C135" i="5" s="1"/>
  <c r="C31" i="4"/>
  <c r="H19" i="4"/>
  <c r="E140" i="2"/>
  <c r="F140" i="2"/>
  <c r="G140" i="2"/>
  <c r="H140" i="2"/>
  <c r="I140" i="2"/>
  <c r="F121" i="2"/>
  <c r="G121" i="2"/>
  <c r="H121" i="2"/>
  <c r="I121" i="2"/>
  <c r="F82" i="2"/>
  <c r="G82" i="2"/>
  <c r="H82" i="2"/>
  <c r="I82" i="2"/>
  <c r="E36" i="2"/>
  <c r="F36" i="2"/>
  <c r="G36" i="2"/>
  <c r="H36" i="2"/>
  <c r="I36" i="2"/>
  <c r="E31" i="2"/>
  <c r="F31" i="2"/>
  <c r="G31" i="2"/>
  <c r="H31" i="2"/>
  <c r="I31" i="2"/>
  <c r="E12" i="2"/>
  <c r="F12" i="2"/>
  <c r="G12" i="2"/>
  <c r="H12" i="2"/>
  <c r="I12" i="2"/>
  <c r="J36" i="2"/>
  <c r="J39" i="2"/>
  <c r="J76" i="2"/>
  <c r="J78" i="2"/>
  <c r="J79" i="2"/>
  <c r="J80" i="2"/>
  <c r="J81" i="2"/>
  <c r="E84" i="2" l="1"/>
  <c r="J73" i="2"/>
  <c r="G84" i="2"/>
  <c r="H84" i="2"/>
  <c r="I84" i="2"/>
  <c r="F84" i="2"/>
  <c r="J140" i="2"/>
  <c r="J82" i="2"/>
  <c r="J31" i="2"/>
  <c r="K104" i="5"/>
  <c r="B80" i="4"/>
  <c r="G80" i="4" s="1"/>
  <c r="B82" i="4"/>
  <c r="G82" i="4" s="1"/>
  <c r="I142" i="2" l="1"/>
  <c r="G142" i="2"/>
  <c r="H142" i="2"/>
  <c r="F142" i="2"/>
  <c r="K106" i="5"/>
  <c r="B121" i="2"/>
  <c r="J12" i="2"/>
  <c r="J84" i="2" s="1"/>
  <c r="E121" i="2" l="1"/>
  <c r="J121" i="2"/>
  <c r="J142" i="2" s="1"/>
  <c r="B16" i="4"/>
  <c r="C16" i="4"/>
  <c r="D16" i="4"/>
  <c r="E16" i="4"/>
  <c r="F16" i="4"/>
  <c r="G16" i="4"/>
  <c r="H16" i="4"/>
  <c r="B14" i="4"/>
  <c r="C14" i="4"/>
  <c r="D14" i="4"/>
  <c r="E14" i="4"/>
  <c r="F14" i="4"/>
  <c r="G14" i="4"/>
  <c r="E142" i="2" l="1"/>
  <c r="B85" i="4"/>
  <c r="B82" i="2"/>
  <c r="G85" i="4" l="1"/>
  <c r="B84" i="4"/>
  <c r="G84" i="4" s="1"/>
  <c r="F15" i="4"/>
  <c r="F17" i="4" s="1"/>
  <c r="E15" i="4"/>
  <c r="E17" i="4" s="1"/>
  <c r="D15" i="4"/>
  <c r="D17" i="4" s="1"/>
  <c r="G15" i="4"/>
  <c r="G17" i="4" s="1"/>
  <c r="C15" i="4"/>
  <c r="C17" i="4" s="1"/>
  <c r="B10" i="4"/>
  <c r="B15" i="4"/>
  <c r="B17" i="4" l="1"/>
  <c r="F9" i="4"/>
  <c r="G10" i="4"/>
  <c r="E9" i="4"/>
  <c r="F10" i="4"/>
  <c r="D10" i="4"/>
  <c r="C9" i="4"/>
  <c r="E10" i="4"/>
  <c r="G9" i="4"/>
  <c r="B9" i="4"/>
  <c r="H9" i="4"/>
  <c r="D9" i="4"/>
  <c r="C10" i="4"/>
  <c r="H10" i="4"/>
  <c r="B86" i="4" l="1"/>
  <c r="B92" i="4" s="1"/>
  <c r="G78" i="4"/>
  <c r="C21" i="4"/>
  <c r="D21" i="4"/>
  <c r="G21" i="4"/>
  <c r="F21" i="4"/>
  <c r="E21" i="4"/>
  <c r="B21" i="4"/>
  <c r="H14" i="4"/>
  <c r="H15" i="4"/>
  <c r="B36" i="2"/>
  <c r="B31" i="2"/>
  <c r="F6" i="4"/>
  <c r="E6" i="4"/>
  <c r="D6" i="4"/>
  <c r="C6" i="4"/>
  <c r="B12" i="2"/>
  <c r="B84" i="2" l="1"/>
  <c r="B142" i="2" s="1"/>
  <c r="C144" i="2" s="1"/>
  <c r="F7" i="4"/>
  <c r="E8" i="4"/>
  <c r="C7" i="4"/>
  <c r="B8" i="4"/>
  <c r="F8" i="4"/>
  <c r="G7" i="4"/>
  <c r="G8" i="4"/>
  <c r="D7" i="4"/>
  <c r="E7" i="4"/>
  <c r="D8" i="4"/>
  <c r="G6" i="4"/>
  <c r="H8" i="4"/>
  <c r="C8" i="4"/>
  <c r="H7" i="4"/>
  <c r="B7" i="4"/>
  <c r="H6" i="4"/>
  <c r="B6" i="4"/>
  <c r="H17" i="4"/>
  <c r="H21" i="4"/>
  <c r="F11" i="4" l="1"/>
  <c r="F23" i="4" s="1"/>
  <c r="G11" i="4"/>
  <c r="G23" i="4" s="1"/>
  <c r="E11" i="4"/>
  <c r="E23" i="4" s="1"/>
  <c r="D11" i="4"/>
  <c r="D23" i="4" s="1"/>
  <c r="B11" i="4"/>
  <c r="B23" i="4" s="1"/>
  <c r="C11" i="4"/>
  <c r="H11" i="4"/>
  <c r="H23" i="4" s="1"/>
  <c r="C23" i="4" l="1"/>
  <c r="K110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tc={039D535A-28BC-4334-A857-42305E880B7B}</author>
  </authors>
  <commentList>
    <comment ref="F19" authorId="0" shapeId="0" xr:uid="{039D535A-28BC-4334-A857-42305E880B7B}">
      <text>
        <t>[Threaded comment]
Your version of Excel allows you to read this threaded comment; however, any edits to it will get removed if the file is opened in a newer version of Excel. Learn more: https://go.microsoft.com/fwlink/?linkid=870924
Comment:
    Addition of £250k underspend from 20/21 programme.  £350k for Greenbank.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tc={DB6DDF32-73CC-4041-A20F-84263ABC3A6E}</author>
    <author>tc={88595B12-6841-40A6-A8C3-D98B8C644596}</author>
    <author>tc={75EF5C38-CCF0-4ECE-B2AE-75A9A60C5E1B}</author>
    <author>tc={F869B0E2-5637-4B5C-B145-E4458B792A52}</author>
    <author>tc={2ED600F5-9C99-4B43-8D95-D67AEFE4CA6C}</author>
    <author>tc={726E2EE8-4F46-4CA1-ACD1-4E59FFB5E60E}</author>
    <author>tc={7291ADC7-4D1B-43C6-85EE-217C05191F9C}</author>
    <author>tc={43DCB685-DBCB-41D5-9469-7AD1FEEC46E8}</author>
    <author>tc={C5C1E00C-9946-456D-9EC5-F255BADB3C83}</author>
    <author>tc={ADD8633D-5A32-43AF-8E59-8D99C352AACD}</author>
    <author>tc={3DDD40A7-9C11-4122-9495-9C1B78DDB829}</author>
    <author>tc={55A8F5EC-DA42-433C-A02A-AAD292BFE89A}</author>
  </authors>
  <commentList>
    <comment ref="B50" authorId="0" shapeId="0" xr:uid="{DB6DDF32-73CC-4041-A20F-84263ABC3A6E}">
      <text>
        <t>[Threaded comment]
Your version of Excel allows you to read this threaded comment; however, any edits to it will get removed if the file is opened in a newer version of Excel. Learn more: https://go.microsoft.com/fwlink/?linkid=870924
Comment:
    Reduce by Taser grant amount to fund Taser revenue costs</t>
      </text>
    </comment>
    <comment ref="E51" authorId="1" shapeId="0" xr:uid="{88595B12-6841-40A6-A8C3-D98B8C644596}">
      <text>
        <t>[Threaded comment]
Your version of Excel allows you to read this threaded comment; however, any edits to it will get removed if the file is opened in a newer version of Excel. Learn more: https://go.microsoft.com/fwlink/?linkid=870924
Comment:
    Not received yet</t>
      </text>
    </comment>
    <comment ref="B61" authorId="2" shapeId="0" xr:uid="{75EF5C38-CCF0-4ECE-B2AE-75A9A60C5E1B}">
      <text>
        <t>[Threaded comment]
Your version of Excel allows you to read this threaded comment; however, any edits to it will get removed if the file is opened in a newer version of Excel. Learn more: https://go.microsoft.com/fwlink/?linkid=870924
Comment:
    May not buy but use CSI run ons instead</t>
      </text>
    </comment>
    <comment ref="B108" authorId="3" shapeId="0" xr:uid="{F869B0E2-5637-4B5C-B145-E4458B792A52}">
      <text>
        <t>[Threaded comment]
Your version of Excel allows you to read this threaded comment; however, any edits to it will get removed if the file is opened in a newer version of Excel. Learn more: https://go.microsoft.com/fwlink/?linkid=870924
Comment:
    £1m digital</t>
      </text>
    </comment>
    <comment ref="C108" authorId="4" shapeId="0" xr:uid="{2ED600F5-9C99-4B43-8D95-D67AEFE4CA6C}">
      <text>
        <t>[Threaded comment]
Your version of Excel allows you to read this threaded comment; however, any edits to it will get removed if the file is opened in a newer version of Excel. Learn more: https://go.microsoft.com/fwlink/?linkid=870924
Comment:
    As per rev budget.  Mainly from PUP</t>
      </text>
    </comment>
    <comment ref="D108" authorId="5" shapeId="0" xr:uid="{726E2EE8-4F46-4CA1-ACD1-4E59FFB5E60E}">
      <text>
        <t>[Threaded comment]
Your version of Excel allows you to read this threaded comment; however, any edits to it will get removed if the file is opened in a newer version of Excel. Learn more: https://go.microsoft.com/fwlink/?linkid=870924
Comment:
    Catterall &amp; Coupe Green</t>
      </text>
    </comment>
    <comment ref="I108" authorId="6" shapeId="0" xr:uid="{7291ADC7-4D1B-43C6-85EE-217C05191F9C}">
      <text>
        <t>[Threaded comment]
Your version of Excel allows you to read this threaded comment; however, any edits to it will get removed if the file is opened in a newer version of Excel. Learn more: https://go.microsoft.com/fwlink/?linkid=870924
Comment:
    Solar panels</t>
      </text>
    </comment>
    <comment ref="C121" authorId="7" shapeId="0" xr:uid="{43DCB685-DBCB-41D5-9469-7AD1FEEC46E8}">
      <text>
        <t>[Threaded comment]
Your version of Excel allows you to read this threaded comment; however, any edits to it will get removed if the file is opened in a newer version of Excel. Learn more: https://go.microsoft.com/fwlink/?linkid=870924
Comment:
    Balancing figures.  Minimum additional contribution to reserves required</t>
      </text>
    </comment>
    <comment ref="B123" authorId="8" shapeId="0" xr:uid="{C5C1E00C-9946-456D-9EC5-F255BADB3C83}">
      <text>
        <t>[Threaded comment]
Your version of Excel allows you to read this threaded comment; however, any edits to it will get removed if the file is opened in a newer version of Excel. Learn more: https://go.microsoft.com/fwlink/?linkid=870924
Comment:
    Assume FFE</t>
      </text>
    </comment>
    <comment ref="B131" authorId="9" shapeId="0" xr:uid="{ADD8633D-5A32-43AF-8E59-8D99C352AACD}">
      <text>
        <t>[Threaded comment]
Your version of Excel allows you to read this threaded comment; however, any edits to it will get removed if the file is opened in a newer version of Excel. Learn more: https://go.microsoft.com/fwlink/?linkid=870924
Comment:
    Assume FFE</t>
      </text>
    </comment>
    <comment ref="B139" authorId="10" shapeId="0" xr:uid="{3DDD40A7-9C11-4122-9495-9C1B78DDB829}">
      <text>
        <t>[Threaded comment]
Your version of Excel allows you to read this threaded comment; however, any edits to it will get removed if the file is opened in a newer version of Excel. Learn more: https://go.microsoft.com/fwlink/?linkid=870924
Comment:
    Assume FFE</t>
      </text>
    </comment>
    <comment ref="B147" authorId="11" shapeId="0" xr:uid="{55A8F5EC-DA42-433C-A02A-AAD292BFE89A}">
      <text>
        <t>[Threaded comment]
Your version of Excel allows you to read this threaded comment; however, any edits to it will get removed if the file is opened in a newer version of Excel. Learn more: https://go.microsoft.com/fwlink/?linkid=870924
Comment:
    Assume FFE</t>
      </text>
    </comment>
  </commentList>
</comments>
</file>

<file path=xl/sharedStrings.xml><?xml version="1.0" encoding="utf-8"?>
<sst xmlns="http://schemas.openxmlformats.org/spreadsheetml/2006/main" count="955" uniqueCount="343">
  <si>
    <t>2021/22</t>
  </si>
  <si>
    <t>2022/23</t>
  </si>
  <si>
    <t>2023/24</t>
  </si>
  <si>
    <t>2024/25</t>
  </si>
  <si>
    <t>TOTAL</t>
  </si>
  <si>
    <t>Capital Expenditure</t>
  </si>
  <si>
    <t>£</t>
  </si>
  <si>
    <t xml:space="preserve"> IS/IT Strategy</t>
  </si>
  <si>
    <t>Device Upgrade and Replacement</t>
  </si>
  <si>
    <t>Endpoint Replacement/Upgrade Programme</t>
  </si>
  <si>
    <t>Hand Held Smart Device Programme</t>
  </si>
  <si>
    <t>Total Device Upgrade and Replacement</t>
  </si>
  <si>
    <t>System Replacement</t>
  </si>
  <si>
    <t>DMIU Platform Expansion</t>
  </si>
  <si>
    <t>Refresh/Replace ICCS for ESN</t>
  </si>
  <si>
    <t xml:space="preserve">Door Entry Alarms/Proximity/Legacy CCTV </t>
  </si>
  <si>
    <t>Custody Infrastructure Refresh</t>
  </si>
  <si>
    <t>WiFi - Corporate and Guest Roll Out</t>
  </si>
  <si>
    <t>Centralised Access System</t>
  </si>
  <si>
    <t>ESN Airwave Replacement</t>
  </si>
  <si>
    <t>Storage Array Replacement</t>
  </si>
  <si>
    <t>Office 365 Migration</t>
  </si>
  <si>
    <t xml:space="preserve"> Digital Evidence Management and Transfer</t>
  </si>
  <si>
    <t>Total New and Replacement Systems</t>
  </si>
  <si>
    <t>Network Access &amp; Security</t>
  </si>
  <si>
    <t>General Provision Infrastructure/Security</t>
  </si>
  <si>
    <t>Total Network &amp; Security</t>
  </si>
  <si>
    <t>New Requirements</t>
  </si>
  <si>
    <t>Body Worn Video</t>
  </si>
  <si>
    <t>Network Improvements</t>
  </si>
  <si>
    <t>Covert Radio Set Replacement</t>
  </si>
  <si>
    <t>DMIU Storage Uplift</t>
  </si>
  <si>
    <t>Total New Requirements</t>
  </si>
  <si>
    <t xml:space="preserve"> Total  ICT</t>
  </si>
  <si>
    <t>Accommodation Strategy</t>
  </si>
  <si>
    <t>Pendle Briefing Base</t>
  </si>
  <si>
    <t>Refurbishment of Custody Suites</t>
  </si>
  <si>
    <t>Refurbishment of Operating Bases</t>
  </si>
  <si>
    <t>Adaptations Blackburn Greenbank</t>
  </si>
  <si>
    <t xml:space="preserve">Southern Comms </t>
  </si>
  <si>
    <t>Public Order Facility</t>
  </si>
  <si>
    <t>Ormskirk Police Station</t>
  </si>
  <si>
    <t>Skelmersdale Refurbishment</t>
  </si>
  <si>
    <t>ISO Accreditation</t>
  </si>
  <si>
    <t>Burnley Police Station Replacement</t>
  </si>
  <si>
    <t>Solar Panel Installations</t>
  </si>
  <si>
    <t>Total Accommodation Strategy</t>
  </si>
  <si>
    <t>Vehicle replacement programme</t>
  </si>
  <si>
    <t>Other Schemes</t>
  </si>
  <si>
    <t>Force Control Room Upgrade - POD working</t>
  </si>
  <si>
    <t>Replacement External CCTV</t>
  </si>
  <si>
    <t>Taser  Uplift</t>
  </si>
  <si>
    <t>Total Other Schemes</t>
  </si>
  <si>
    <t>TOTAL EXPENDITURE</t>
  </si>
  <si>
    <t>Approved Capital Investment Programme 2021/22 - 2025/26</t>
  </si>
  <si>
    <t>Slippage from 2020/21</t>
  </si>
  <si>
    <t>2025/26</t>
  </si>
  <si>
    <t xml:space="preserve">Forensic Science &amp; UCLAN Collaboration    </t>
  </si>
  <si>
    <t>Northgate Connect &amp; Future Developments  </t>
  </si>
  <si>
    <t>Essential Infrastructure Maintenance (EIM) Schemes</t>
  </si>
  <si>
    <t>National Systems</t>
  </si>
  <si>
    <t>Single Online Home (SOH)</t>
  </si>
  <si>
    <t>Emergency Services Network (ESN)</t>
  </si>
  <si>
    <t xml:space="preserve">DCF - Deploy National solution </t>
  </si>
  <si>
    <t>SARS Onboarding</t>
  </si>
  <si>
    <t>NLEDS (Replacement of PNC and PND)</t>
  </si>
  <si>
    <t xml:space="preserve">New Case Management System  </t>
  </si>
  <si>
    <t xml:space="preserve">Rant and Rave </t>
  </si>
  <si>
    <t>Replace Cyclops Vetting Module</t>
  </si>
  <si>
    <t>Replace Forensic Science Platform</t>
  </si>
  <si>
    <t xml:space="preserve">Force Control Room </t>
  </si>
  <si>
    <t>Skelmersdale Refit</t>
  </si>
  <si>
    <t>Process Automation (RPA)</t>
  </si>
  <si>
    <t>Cloud Hosted Analytics Capability</t>
  </si>
  <si>
    <t xml:space="preserve">DMIU Platform evolution (Following design and process review) </t>
  </si>
  <si>
    <t xml:space="preserve">Telematics </t>
  </si>
  <si>
    <t>FotoWeb</t>
  </si>
  <si>
    <t>NICE Investigation - Phase 2</t>
  </si>
  <si>
    <t>West - Lancaster - Original Budget £1,000,000</t>
  </si>
  <si>
    <t>East - Burnley - Original Budget £220,000</t>
  </si>
  <si>
    <t>South -Preston  - Original Budget £770,000</t>
  </si>
  <si>
    <t>East - Clitheroe - Original Budget £1,150,000</t>
  </si>
  <si>
    <t>South - Ormskirk  - Original Budget £1,800,000</t>
  </si>
  <si>
    <t>West - Morecambe  - Original Budget £3,500,000</t>
  </si>
  <si>
    <t>South - Chorley  - Original Budget £4,000,000</t>
  </si>
  <si>
    <t>South - Preston  - Original Budget £1,375,000</t>
  </si>
  <si>
    <t>East  - Bispham  - Original Budget £660,000</t>
  </si>
  <si>
    <t>South  - Leyland - Original Budget £1,900,000</t>
  </si>
  <si>
    <t>East - Blackburn BCU Long Term inc Car Park</t>
  </si>
  <si>
    <t xml:space="preserve">South - Bamber Bridge Refurbishment </t>
  </si>
  <si>
    <t xml:space="preserve">Environmental Works </t>
  </si>
  <si>
    <t xml:space="preserve">Collision Team - RPU - Accreditation  </t>
  </si>
  <si>
    <t>East Infrastructure</t>
  </si>
  <si>
    <t>Critical Police Infrastructure Programme</t>
  </si>
  <si>
    <t xml:space="preserve">Other Operating Bases -Various Regions:- Aughton - South, Tarleton - South, Lea - South, Coppull - South, Kirkham - West, Garstang - West </t>
  </si>
  <si>
    <t>Draft Capital Investment Programme 2021/22 - 2025/26</t>
  </si>
  <si>
    <t xml:space="preserve"> ICT Strategy</t>
  </si>
  <si>
    <t xml:space="preserve"> Total ICT Strategy</t>
  </si>
  <si>
    <t>Minor Capital Works and Refurbishments</t>
  </si>
  <si>
    <t>Major Capital Works and Refurbishments</t>
  </si>
  <si>
    <t>Vehicle Replacement Programme</t>
  </si>
  <si>
    <t>East - Blackburn - Original Budget £1,300,000</t>
  </si>
  <si>
    <t>West - Fleetwood - Original Budget  £1,150,000</t>
  </si>
  <si>
    <t>Regional Drug Facility</t>
  </si>
  <si>
    <t>HM Courts portal</t>
  </si>
  <si>
    <t>New storage database</t>
  </si>
  <si>
    <t>HPE Voice Analytics</t>
  </si>
  <si>
    <t>NDQIS</t>
  </si>
  <si>
    <t>ICT Strategy</t>
  </si>
  <si>
    <t>Approved programme</t>
  </si>
  <si>
    <t>Current bid</t>
  </si>
  <si>
    <t>21/22 Bid</t>
  </si>
  <si>
    <t>Regional Crime TSU contribution</t>
  </si>
  <si>
    <t>FINANCING OF PROPOSED PROGRAMME</t>
  </si>
  <si>
    <t>LRSP</t>
  </si>
  <si>
    <t>Loan</t>
  </si>
  <si>
    <t>Borrowing</t>
  </si>
  <si>
    <t>£k</t>
  </si>
  <si>
    <t>Balance 1/4/19</t>
  </si>
  <si>
    <t>In Year Contribution/Funds</t>
  </si>
  <si>
    <t>Budgeted Contribution</t>
  </si>
  <si>
    <t>Home Office - Capital Grant</t>
  </si>
  <si>
    <t>Sale Blackpool South</t>
  </si>
  <si>
    <t>Wellbeing Grant - Vehicle Replacement Programme</t>
  </si>
  <si>
    <t>CTB Grant - Vehicle Replacement Programme</t>
  </si>
  <si>
    <t>Knife Crime Grant - Vehicle Replacement Programme</t>
  </si>
  <si>
    <t>DoT Grant via Sussex Police - Ops Special Equipment</t>
  </si>
  <si>
    <t>DMIU - Crime Special Equipment</t>
  </si>
  <si>
    <t>Vehicle Replacement -Task Force</t>
  </si>
  <si>
    <t>Loan - HQ Solar Panels</t>
  </si>
  <si>
    <t>Vehicle Replacement -RDI</t>
  </si>
  <si>
    <t>Vehicle Replacement -MDS</t>
  </si>
  <si>
    <t>Mobile Handheld - Uplift</t>
  </si>
  <si>
    <t>Endpoint Replacement - Uplift</t>
  </si>
  <si>
    <t>Endpoint Replacement - PREVENT</t>
  </si>
  <si>
    <t>Vehicle Replacement -Drone from PCC</t>
  </si>
  <si>
    <t>Taser Uplift</t>
  </si>
  <si>
    <t>Network Access/ Security</t>
  </si>
  <si>
    <t>Device Upgrade</t>
  </si>
  <si>
    <t>Systems Replacement</t>
  </si>
  <si>
    <t>Solar Panels</t>
  </si>
  <si>
    <t>Minor Works</t>
  </si>
  <si>
    <t>ANPR</t>
  </si>
  <si>
    <t>OR Implementation</t>
  </si>
  <si>
    <t>Crime Spec Equipment</t>
  </si>
  <si>
    <t>Ops Spec Equipment</t>
  </si>
  <si>
    <t>Average Speed Camera</t>
  </si>
  <si>
    <t>LFSA</t>
  </si>
  <si>
    <t>POD Working</t>
  </si>
  <si>
    <t>TASER</t>
  </si>
  <si>
    <t>Vehicle Replacement</t>
  </si>
  <si>
    <t>Balance 31/3/20</t>
  </si>
  <si>
    <t>Revenue Contribution</t>
  </si>
  <si>
    <t>Transition Reserve</t>
  </si>
  <si>
    <t>Capital Receipts</t>
  </si>
  <si>
    <t>Capital Grant</t>
  </si>
  <si>
    <t>Capital Funding</t>
  </si>
  <si>
    <t>Forensic Academy</t>
  </si>
  <si>
    <t>20/21 In year contributions:</t>
  </si>
  <si>
    <t xml:space="preserve">4528400 Vehicle Rep Programme                     </t>
  </si>
  <si>
    <t>Road Policing vehicles</t>
  </si>
  <si>
    <t>Commissioning of remaining 2 x wellbeing vehicles</t>
  </si>
  <si>
    <t>4541532 Heysham STRAP Accommodation</t>
  </si>
  <si>
    <t>4538469 Taser Uplift</t>
  </si>
  <si>
    <t>4540018 HQ Main Building PREVENT</t>
  </si>
  <si>
    <t>4538470 Vehicle Ramps</t>
  </si>
  <si>
    <t>4518001 Endpoint Replacement Programme           </t>
  </si>
  <si>
    <t>Radios - Uplift</t>
  </si>
  <si>
    <t>FM Vehicle</t>
  </si>
  <si>
    <t>4540019 HQ Main Building - Covert alterations</t>
  </si>
  <si>
    <t>4518015 Body Worn Video    </t>
  </si>
  <si>
    <t>NHP MFH Uplift</t>
  </si>
  <si>
    <t>NHP Task team Uplift</t>
  </si>
  <si>
    <t>Drone vehicle</t>
  </si>
  <si>
    <t>4518019 Mobile Handheld Smart Device Programme   </t>
  </si>
  <si>
    <t>4538456 HQ Crime Specialised Equipment Replacement</t>
  </si>
  <si>
    <t xml:space="preserve">4538471 Regional Drugs Facility - Capital         </t>
  </si>
  <si>
    <t>Revenue contribution from regional forces</t>
  </si>
  <si>
    <t xml:space="preserve">4518221 ANPR - Mobile     </t>
  </si>
  <si>
    <t>ATOM grant equipment</t>
  </si>
  <si>
    <t xml:space="preserve">4538466 CCTV System - Heysham Port                </t>
  </si>
  <si>
    <t>24 x laptops for FMIT</t>
  </si>
  <si>
    <t>Taser Devices</t>
  </si>
  <si>
    <t>Relocation PREVENT from Padiham to HQ</t>
  </si>
  <si>
    <t>Ramps. Funded from the Workshop Reserve</t>
  </si>
  <si>
    <t>Body Worn Uplift</t>
  </si>
  <si>
    <t>Samsungs 102 x Uplift devices</t>
  </si>
  <si>
    <t>COVID 200 x laptops</t>
  </si>
  <si>
    <t>COVID 290 x Covid devices</t>
  </si>
  <si>
    <t>CCTV Heysham Port</t>
  </si>
  <si>
    <t>Balance</t>
  </si>
  <si>
    <t>Shimadzu equipment</t>
  </si>
  <si>
    <t>Estimated Desktops / laptops for uplift</t>
  </si>
  <si>
    <t>Estimated 102 x Uplift devices</t>
  </si>
  <si>
    <t>Sale of St Annes</t>
  </si>
  <si>
    <t xml:space="preserve">4518205 ANPR – Fixed Cameras &amp; NAS                                  </t>
  </si>
  <si>
    <t>Insurance claim for damaged camera</t>
  </si>
  <si>
    <t>Allocated to :</t>
  </si>
  <si>
    <t xml:space="preserve">4538467 Forensic Science &amp; UCLAN Collaboration    </t>
  </si>
  <si>
    <t>NETWORK ACCESS AND SECURITY</t>
  </si>
  <si>
    <t>4518056 Covert Radio Set Replacement</t>
  </si>
  <si>
    <t>TOTAL SYSTEMS REPLACEMENT</t>
  </si>
  <si>
    <t>TOTAL ACCOMMODATION STRATEGY</t>
  </si>
  <si>
    <t>TOTAL MINOR CAPITAL WORKS AND REFURBISHMENTS</t>
  </si>
  <si>
    <t>4518042 Replacement External CCTV</t>
  </si>
  <si>
    <t>4538461 HQ Ops Specialised Equipment Replacement P</t>
  </si>
  <si>
    <t>4538468 Force Control Room Upgrade - POD Working</t>
  </si>
  <si>
    <t>Balance as at 31/3/21</t>
  </si>
  <si>
    <t>Depends on FFE</t>
  </si>
  <si>
    <t>Depends on ICT equipment</t>
  </si>
  <si>
    <t>Driver Training Vehicles - Uplift</t>
  </si>
  <si>
    <t>Heysham Strap Accommodation  REFCUS</t>
  </si>
  <si>
    <t>Covert accommodation - Uplift</t>
  </si>
  <si>
    <t>Check - CTB grant</t>
  </si>
  <si>
    <t xml:space="preserve"> LRSP - Average Speed Camers </t>
  </si>
  <si>
    <t>PND &amp; BRC</t>
  </si>
  <si>
    <t>Oracle Fusion</t>
  </si>
  <si>
    <t>James Harvard</t>
  </si>
  <si>
    <t>Indemnity House</t>
  </si>
  <si>
    <t>DMS Upgrade v14.5</t>
  </si>
  <si>
    <t>VDI decommissioning</t>
  </si>
  <si>
    <t>Telephony Platform functionality development</t>
  </si>
  <si>
    <t>Force video conferencing capability</t>
  </si>
  <si>
    <t>Idrive rationalisation and migration</t>
  </si>
  <si>
    <t>New case management system - FM</t>
  </si>
  <si>
    <t>CCTV Contact Management</t>
  </si>
  <si>
    <t>Provisional Allocation</t>
  </si>
  <si>
    <t>Agreed Capital Investment Programme 2021/22 - 2025/26</t>
  </si>
  <si>
    <t>In year contributions</t>
  </si>
  <si>
    <t>C/f</t>
  </si>
  <si>
    <t>ICT</t>
  </si>
  <si>
    <t>Estates</t>
  </si>
  <si>
    <t>Vehicles</t>
  </si>
  <si>
    <t>Other schemes</t>
  </si>
  <si>
    <t>Balance as at 31/3/22</t>
  </si>
  <si>
    <t>Balance as at 31/3/23</t>
  </si>
  <si>
    <t>Balance as at 31/3/24</t>
  </si>
  <si>
    <t>Balance as at 31/3/25</t>
  </si>
  <si>
    <t>National Schemes</t>
  </si>
  <si>
    <t>Other</t>
  </si>
  <si>
    <t>Force schemes</t>
  </si>
  <si>
    <t>CCTV System - Heysham Ports</t>
  </si>
  <si>
    <t>Pronto Development</t>
  </si>
  <si>
    <t>Unallocated</t>
  </si>
  <si>
    <t>Firewall Replacement</t>
  </si>
  <si>
    <t>New case management system - Data Protection Ecase</t>
  </si>
  <si>
    <t>Original slippage from 2020/21</t>
  </si>
  <si>
    <t>New allocation 21-22</t>
  </si>
  <si>
    <t>Additional Slippage from 20/21</t>
  </si>
  <si>
    <t>Agreed Programme</t>
  </si>
  <si>
    <t>ANPR Mobile</t>
  </si>
  <si>
    <t>ANPR Fixed Cameras and NAS</t>
  </si>
  <si>
    <t>HQ Crime Specialised Equipment Replacement Programme</t>
  </si>
  <si>
    <t xml:space="preserve">HQ Operations Specialised Equipment Replacement Programme </t>
  </si>
  <si>
    <t>HQ Facilities at West</t>
  </si>
  <si>
    <t xml:space="preserve">Early Action Multi Agency Case Management System  </t>
  </si>
  <si>
    <t xml:space="preserve">Learning Management System                </t>
  </si>
  <si>
    <t>Future Developments (COTS)</t>
  </si>
  <si>
    <t>Heysham Ports STRAP accomodation</t>
  </si>
  <si>
    <t>Cost Centre</t>
  </si>
  <si>
    <t>Line No</t>
  </si>
  <si>
    <t>Subjective</t>
  </si>
  <si>
    <t>Geographic</t>
  </si>
  <si>
    <t>Project</t>
  </si>
  <si>
    <t>Amount</t>
  </si>
  <si>
    <t>Profile Code</t>
  </si>
  <si>
    <t>Error Messages</t>
  </si>
  <si>
    <t>APR-20</t>
  </si>
  <si>
    <t>MAY-20</t>
  </si>
  <si>
    <t>JUN-20</t>
  </si>
  <si>
    <t>JUL-20</t>
  </si>
  <si>
    <t>AUG-20</t>
  </si>
  <si>
    <t>SEP-20</t>
  </si>
  <si>
    <t>OCT-20</t>
  </si>
  <si>
    <t>NOV-20</t>
  </si>
  <si>
    <t>DEC-20</t>
  </si>
  <si>
    <t>JAN-21</t>
  </si>
  <si>
    <t>FEB-21</t>
  </si>
  <si>
    <t>MAR-21</t>
  </si>
  <si>
    <t>4999993</t>
  </si>
  <si>
    <t>00201</t>
  </si>
  <si>
    <t>00</t>
  </si>
  <si>
    <t>000000</t>
  </si>
  <si>
    <t>MANUAL</t>
  </si>
  <si>
    <t/>
  </si>
  <si>
    <t>71034</t>
  </si>
  <si>
    <t>71040</t>
  </si>
  <si>
    <t>71061</t>
  </si>
  <si>
    <t>71051</t>
  </si>
  <si>
    <t>71011</t>
  </si>
  <si>
    <t>Endpoint Replacement Programme           </t>
  </si>
  <si>
    <t>Mobile Handheld Smart Device Programme   </t>
  </si>
  <si>
    <t>Telematics</t>
  </si>
  <si>
    <t>Door Entry Alarms/Proximity/CCTV         </t>
  </si>
  <si>
    <t>Early Action Multi Agency Case Management System </t>
  </si>
  <si>
    <t>Learning Management System               </t>
  </si>
  <si>
    <t>Office 365 Migration(NEP)</t>
  </si>
  <si>
    <t>WiFi Rollout</t>
  </si>
  <si>
    <t>Replace Vetting System (CoreVet)</t>
  </si>
  <si>
    <t>Force Video conferencing capability</t>
  </si>
  <si>
    <t>Facilities Mgt Case Management System</t>
  </si>
  <si>
    <t>DMS V.14.5 upgrade</t>
  </si>
  <si>
    <t>General Provision for Infrastructure and Security</t>
  </si>
  <si>
    <t>Telephony System &amp; Infrastructure        </t>
  </si>
  <si>
    <t>ICCS Upgrade (ESN)</t>
  </si>
  <si>
    <t>Firewall replacement  for EOL kit</t>
  </si>
  <si>
    <t>James H</t>
  </si>
  <si>
    <t>rvard (budget to be allocated across relevant schemes)</t>
  </si>
  <si>
    <t>71039</t>
  </si>
  <si>
    <t>ANPR – Fixed Cameras &amp; NAS                                 </t>
  </si>
  <si>
    <t>ANPR - Mobile    </t>
  </si>
  <si>
    <t>Vehicle Rep Programme                    </t>
  </si>
  <si>
    <t>HQ Ops Specialised Equipment Replacement P</t>
  </si>
  <si>
    <t>CCTV System - Heysham Port               </t>
  </si>
  <si>
    <t>Forensic Science &amp; UCLAN Collaboration   </t>
  </si>
  <si>
    <t>Force Control Room Upgrade - POD Working</t>
  </si>
  <si>
    <t>Regional Drugs Facility - Capital        </t>
  </si>
  <si>
    <t>ICT Network Office                       </t>
  </si>
  <si>
    <t>HQ The Pavilion - Air con</t>
  </si>
  <si>
    <t>TC Administration Block General - Alterations</t>
  </si>
  <si>
    <t>HQ CPIP</t>
  </si>
  <si>
    <t>HQ Facilities at West                    </t>
  </si>
  <si>
    <t>Upgrade to 1st floor WC &amp; lite touch to offices</t>
  </si>
  <si>
    <t>Kirkham Police Station - Internal Refurb</t>
  </si>
  <si>
    <t>Lancaster Gym Relocation</t>
  </si>
  <si>
    <t>Refurbishment of Operating Bases - Fleetwood</t>
  </si>
  <si>
    <t>Morecambe Police Station - Car Park Resurfacing</t>
  </si>
  <si>
    <t>Morecambe Police Station - Security</t>
  </si>
  <si>
    <t>Chorley showers</t>
  </si>
  <si>
    <t>Ormskirk Police Station Refurbishment    </t>
  </si>
  <si>
    <t>Skelmersdale Refurbishment               </t>
  </si>
  <si>
    <t>Preston - Expectant Mother's Room</t>
  </si>
  <si>
    <t>Refurbishment of Operating Bases - Clitheroe</t>
  </si>
  <si>
    <t>Rishton ABE Soudproofing</t>
  </si>
  <si>
    <t>Burnley Custody</t>
  </si>
  <si>
    <t>Heysham STRAP Accommodation</t>
  </si>
  <si>
    <t>Bamber Bridge - ISO Accreditation SSD</t>
  </si>
  <si>
    <t>Improvements to ABE suites</t>
  </si>
  <si>
    <t>Misc Minor Works Final Accts             </t>
  </si>
  <si>
    <t>Front counter reviews - Security upgrade</t>
  </si>
  <si>
    <t>Fire Safety Improvements</t>
  </si>
  <si>
    <t>Custody Lite Touch</t>
  </si>
  <si>
    <t>Samlesbury - Alterations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</si>
</sst>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0.000"/>
    <numFmt numFmtId="165" formatCode="_-* #,##0_-;\-* #,##0_-;_-* &quot;-&quot;??_-;_-@_-"/>
    <numFmt numFmtId="166" formatCode="_-&quot;£&quot;* #,##0_-;\-&quot;£&quot;* #,##0_-;_-&quot;£&quot;* &quot;-&quot;??_-;_-@_-"/>
    <numFmt numFmtId="167" formatCode="_-* #,##0.0_-;\-* #,##0.0_-;_-* &quot;-&quot;??_-;_-@_-"/>
    <numFmt numFmtId="168" formatCode="#,##0.000"/>
    <numFmt numFmtId="169" formatCode="0.0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b/>
      <u/>
      <sz val="1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i/>
      <sz val="11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sz val="12"/>
      <name val="Arial"/>
      <family val="2"/>
    </font>
    <font>
      <sz val="10"/>
      <color indexed="8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999FF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14" fillId="0" borderId="0"/>
  </cellStyleXfs>
  <cellXfs count="122">
    <xf numFmtId="0" fontId="0" fillId="0" borderId="0" xfId="0"/>
    <xf numFmtId="164" fontId="2" fillId="0" borderId="0" xfId="0" applyNumberFormat="1" applyFont="1" applyBorder="1" applyAlignment="1">
      <alignment horizontal="left"/>
    </xf>
    <xf numFmtId="164" fontId="3" fillId="0" borderId="0" xfId="0" applyNumberFormat="1" applyFont="1" applyBorder="1" applyAlignment="1">
      <alignment horizontal="center"/>
    </xf>
    <xf numFmtId="164" fontId="3" fillId="0" borderId="0" xfId="0" applyNumberFormat="1" applyFont="1" applyBorder="1" applyAlignment="1"/>
    <xf numFmtId="0" fontId="4" fillId="0" borderId="0" xfId="0" applyFont="1" applyAlignment="1">
      <alignment wrapText="1"/>
    </xf>
    <xf numFmtId="0" fontId="3" fillId="0" borderId="2" xfId="0" applyFont="1" applyBorder="1" applyAlignment="1">
      <alignment horizontal="center" wrapText="1"/>
    </xf>
    <xf numFmtId="0" fontId="3" fillId="0" borderId="2" xfId="0" applyFont="1" applyFill="1" applyBorder="1" applyAlignment="1">
      <alignment horizontal="center" wrapText="1"/>
    </xf>
    <xf numFmtId="0" fontId="4" fillId="0" borderId="0" xfId="0" applyFont="1"/>
    <xf numFmtId="164" fontId="3" fillId="0" borderId="3" xfId="0" applyNumberFormat="1" applyFont="1" applyBorder="1" applyAlignment="1">
      <alignment horizontal="center"/>
    </xf>
    <xf numFmtId="164" fontId="3" fillId="0" borderId="3" xfId="0" applyNumberFormat="1" applyFont="1" applyBorder="1" applyAlignment="1"/>
    <xf numFmtId="0" fontId="0" fillId="0" borderId="0" xfId="0" applyBorder="1" applyAlignment="1"/>
    <xf numFmtId="0" fontId="3" fillId="0" borderId="0" xfId="0" applyFont="1" applyBorder="1"/>
    <xf numFmtId="164" fontId="3" fillId="0" borderId="3" xfId="0" quotePrefix="1" applyNumberFormat="1" applyFont="1" applyBorder="1" applyAlignment="1">
      <alignment horizontal="center"/>
    </xf>
    <xf numFmtId="0" fontId="3" fillId="0" borderId="4" xfId="0" applyFont="1" applyBorder="1"/>
    <xf numFmtId="165" fontId="3" fillId="0" borderId="3" xfId="1" applyNumberFormat="1" applyFont="1" applyBorder="1" applyAlignment="1">
      <alignment horizontal="center"/>
    </xf>
    <xf numFmtId="0" fontId="4" fillId="0" borderId="4" xfId="0" applyFont="1" applyFill="1" applyBorder="1"/>
    <xf numFmtId="165" fontId="4" fillId="0" borderId="3" xfId="1" applyNumberFormat="1" applyFont="1" applyBorder="1" applyAlignment="1">
      <alignment horizontal="center"/>
    </xf>
    <xf numFmtId="0" fontId="3" fillId="0" borderId="4" xfId="0" applyFont="1" applyFill="1" applyBorder="1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Alignment="1"/>
    <xf numFmtId="0" fontId="5" fillId="0" borderId="0" xfId="0" applyFont="1"/>
    <xf numFmtId="0" fontId="4" fillId="0" borderId="0" xfId="0" applyFont="1" applyFill="1" applyBorder="1"/>
    <xf numFmtId="165" fontId="4" fillId="0" borderId="5" xfId="1" applyNumberFormat="1" applyFont="1" applyBorder="1" applyAlignment="1">
      <alignment horizontal="center"/>
    </xf>
    <xf numFmtId="0" fontId="3" fillId="0" borderId="0" xfId="0" applyFont="1" applyFill="1" applyBorder="1"/>
    <xf numFmtId="165" fontId="3" fillId="2" borderId="2" xfId="1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165" fontId="4" fillId="0" borderId="3" xfId="1" applyNumberFormat="1" applyFont="1" applyBorder="1" applyAlignment="1"/>
    <xf numFmtId="165" fontId="3" fillId="0" borderId="3" xfId="1" applyNumberFormat="1" applyFont="1" applyBorder="1" applyAlignment="1"/>
    <xf numFmtId="165" fontId="3" fillId="0" borderId="3" xfId="1" applyNumberFormat="1" applyFont="1" applyFill="1" applyBorder="1" applyAlignment="1">
      <alignment horizontal="right"/>
    </xf>
    <xf numFmtId="165" fontId="4" fillId="0" borderId="7" xfId="1" applyNumberFormat="1" applyFont="1" applyBorder="1" applyAlignment="1"/>
    <xf numFmtId="0" fontId="4" fillId="0" borderId="4" xfId="0" applyFont="1" applyFill="1" applyBorder="1" applyAlignment="1">
      <alignment horizontal="left" indent="1"/>
    </xf>
    <xf numFmtId="0" fontId="3" fillId="3" borderId="1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164" fontId="3" fillId="0" borderId="5" xfId="0" quotePrefix="1" applyNumberFormat="1" applyFont="1" applyBorder="1" applyAlignment="1">
      <alignment horizontal="center"/>
    </xf>
    <xf numFmtId="164" fontId="3" fillId="4" borderId="5" xfId="0" quotePrefix="1" applyNumberFormat="1" applyFont="1" applyFill="1" applyBorder="1" applyAlignment="1">
      <alignment horizontal="center"/>
    </xf>
    <xf numFmtId="165" fontId="3" fillId="4" borderId="2" xfId="1" applyNumberFormat="1" applyFont="1" applyFill="1" applyBorder="1" applyAlignment="1">
      <alignment horizontal="right"/>
    </xf>
    <xf numFmtId="0" fontId="3" fillId="0" borderId="8" xfId="0" applyFont="1" applyBorder="1"/>
    <xf numFmtId="0" fontId="3" fillId="0" borderId="11" xfId="0" applyFont="1" applyFill="1" applyBorder="1"/>
    <xf numFmtId="0" fontId="4" fillId="0" borderId="11" xfId="0" applyFont="1" applyFill="1" applyBorder="1"/>
    <xf numFmtId="0" fontId="3" fillId="4" borderId="11" xfId="0" applyFont="1" applyFill="1" applyBorder="1"/>
    <xf numFmtId="0" fontId="4" fillId="0" borderId="11" xfId="0" applyFont="1" applyFill="1" applyBorder="1" applyAlignment="1">
      <alignment horizontal="left" indent="3"/>
    </xf>
    <xf numFmtId="0" fontId="4" fillId="0" borderId="11" xfId="0" applyFont="1" applyBorder="1" applyAlignment="1">
      <alignment horizontal="left" indent="3"/>
    </xf>
    <xf numFmtId="165" fontId="3" fillId="4" borderId="12" xfId="1" applyNumberFormat="1" applyFont="1" applyFill="1" applyBorder="1" applyAlignment="1">
      <alignment horizontal="right"/>
    </xf>
    <xf numFmtId="0" fontId="3" fillId="5" borderId="13" xfId="0" applyFont="1" applyFill="1" applyBorder="1"/>
    <xf numFmtId="164" fontId="3" fillId="0" borderId="9" xfId="0" applyNumberFormat="1" applyFont="1" applyBorder="1" applyAlignment="1">
      <alignment horizontal="right"/>
    </xf>
    <xf numFmtId="164" fontId="3" fillId="4" borderId="9" xfId="0" applyNumberFormat="1" applyFont="1" applyFill="1" applyBorder="1" applyAlignment="1">
      <alignment horizontal="right"/>
    </xf>
    <xf numFmtId="164" fontId="3" fillId="0" borderId="10" xfId="0" applyNumberFormat="1" applyFont="1" applyBorder="1" applyAlignment="1">
      <alignment horizontal="right"/>
    </xf>
    <xf numFmtId="165" fontId="3" fillId="0" borderId="2" xfId="1" applyNumberFormat="1" applyFont="1" applyBorder="1" applyAlignment="1">
      <alignment horizontal="right"/>
    </xf>
    <xf numFmtId="165" fontId="3" fillId="0" borderId="12" xfId="1" applyNumberFormat="1" applyFont="1" applyBorder="1" applyAlignment="1">
      <alignment horizontal="right"/>
    </xf>
    <xf numFmtId="165" fontId="4" fillId="0" borderId="2" xfId="1" applyNumberFormat="1" applyFont="1" applyBorder="1" applyAlignment="1">
      <alignment horizontal="right"/>
    </xf>
    <xf numFmtId="165" fontId="4" fillId="4" borderId="2" xfId="1" applyNumberFormat="1" applyFont="1" applyFill="1" applyBorder="1" applyAlignment="1">
      <alignment horizontal="right"/>
    </xf>
    <xf numFmtId="165" fontId="3" fillId="5" borderId="14" xfId="1" applyNumberFormat="1" applyFont="1" applyFill="1" applyBorder="1" applyAlignment="1">
      <alignment horizontal="right"/>
    </xf>
    <xf numFmtId="165" fontId="0" fillId="0" borderId="0" xfId="0" applyNumberFormat="1"/>
    <xf numFmtId="0" fontId="8" fillId="0" borderId="0" xfId="0" applyFont="1" applyFill="1" applyBorder="1"/>
    <xf numFmtId="0" fontId="8" fillId="0" borderId="0" xfId="0" applyFont="1"/>
    <xf numFmtId="166" fontId="0" fillId="0" borderId="0" xfId="2" applyNumberFormat="1" applyFont="1"/>
    <xf numFmtId="0" fontId="8" fillId="0" borderId="0" xfId="0" applyFont="1" applyAlignment="1">
      <alignment horizontal="center" vertical="center" wrapText="1"/>
    </xf>
    <xf numFmtId="166" fontId="8" fillId="0" borderId="0" xfId="2" applyNumberFormat="1" applyFont="1"/>
    <xf numFmtId="165" fontId="4" fillId="0" borderId="0" xfId="1" applyNumberFormat="1" applyFont="1" applyFill="1" applyBorder="1" applyAlignment="1">
      <alignment horizontal="left"/>
    </xf>
    <xf numFmtId="167" fontId="0" fillId="0" borderId="0" xfId="1" applyNumberFormat="1" applyFont="1"/>
    <xf numFmtId="167" fontId="8" fillId="0" borderId="0" xfId="1" applyNumberFormat="1" applyFont="1" applyAlignment="1">
      <alignment horizontal="center" wrapText="1"/>
    </xf>
    <xf numFmtId="167" fontId="8" fillId="0" borderId="0" xfId="1" applyNumberFormat="1" applyFont="1" applyAlignment="1">
      <alignment wrapText="1"/>
    </xf>
    <xf numFmtId="0" fontId="9" fillId="0" borderId="0" xfId="0" applyFont="1"/>
    <xf numFmtId="0" fontId="10" fillId="6" borderId="0" xfId="0" applyFont="1" applyFill="1"/>
    <xf numFmtId="167" fontId="10" fillId="6" borderId="0" xfId="1" applyNumberFormat="1" applyFont="1" applyFill="1"/>
    <xf numFmtId="0" fontId="8" fillId="6" borderId="0" xfId="0" applyFont="1" applyFill="1"/>
    <xf numFmtId="167" fontId="0" fillId="7" borderId="0" xfId="1" applyNumberFormat="1" applyFont="1" applyFill="1"/>
    <xf numFmtId="167" fontId="9" fillId="7" borderId="0" xfId="1" applyNumberFormat="1" applyFont="1" applyFill="1"/>
    <xf numFmtId="167" fontId="8" fillId="6" borderId="0" xfId="1" applyNumberFormat="1" applyFont="1" applyFill="1"/>
    <xf numFmtId="3" fontId="0" fillId="0" borderId="0" xfId="0" applyNumberFormat="1" applyAlignment="1">
      <alignment horizontal="center"/>
    </xf>
    <xf numFmtId="165" fontId="8" fillId="0" borderId="0" xfId="1" applyNumberFormat="1" applyFont="1" applyAlignment="1">
      <alignment horizontal="center"/>
    </xf>
    <xf numFmtId="0" fontId="8" fillId="8" borderId="0" xfId="0" applyFont="1" applyFill="1"/>
    <xf numFmtId="167" fontId="0" fillId="8" borderId="0" xfId="1" applyNumberFormat="1" applyFont="1" applyFill="1"/>
    <xf numFmtId="0" fontId="5" fillId="8" borderId="0" xfId="0" applyFont="1" applyFill="1"/>
    <xf numFmtId="165" fontId="0" fillId="8" borderId="0" xfId="1" applyNumberFormat="1" applyFont="1" applyFill="1" applyAlignment="1">
      <alignment horizontal="center"/>
    </xf>
    <xf numFmtId="165" fontId="0" fillId="8" borderId="0" xfId="1" applyNumberFormat="1" applyFont="1" applyFill="1"/>
    <xf numFmtId="165" fontId="8" fillId="8" borderId="0" xfId="1" applyNumberFormat="1" applyFont="1" applyFill="1" applyAlignment="1">
      <alignment horizontal="center"/>
    </xf>
    <xf numFmtId="3" fontId="0" fillId="8" borderId="0" xfId="0" applyNumberFormat="1" applyFill="1" applyAlignment="1">
      <alignment horizontal="center"/>
    </xf>
    <xf numFmtId="0" fontId="0" fillId="8" borderId="0" xfId="0" applyFill="1"/>
    <xf numFmtId="168" fontId="0" fillId="8" borderId="0" xfId="0" applyNumberFormat="1" applyFill="1" applyAlignment="1">
      <alignment horizontal="center"/>
    </xf>
    <xf numFmtId="167" fontId="8" fillId="8" borderId="0" xfId="1" applyNumberFormat="1" applyFont="1" applyFill="1"/>
    <xf numFmtId="0" fontId="8" fillId="0" borderId="0" xfId="0" applyFont="1" applyAlignment="1">
      <alignment horizontal="center" wrapText="1"/>
    </xf>
    <xf numFmtId="0" fontId="0" fillId="0" borderId="0" xfId="0" applyAlignment="1">
      <alignment horizontal="left" indent="2"/>
    </xf>
    <xf numFmtId="169" fontId="0" fillId="0" borderId="0" xfId="0" applyNumberFormat="1"/>
    <xf numFmtId="167" fontId="0" fillId="9" borderId="0" xfId="1" applyNumberFormat="1" applyFont="1" applyFill="1"/>
    <xf numFmtId="0" fontId="4" fillId="0" borderId="15" xfId="0" applyFont="1" applyBorder="1" applyAlignment="1">
      <alignment horizontal="left" indent="1"/>
    </xf>
    <xf numFmtId="164" fontId="3" fillId="0" borderId="6" xfId="0" applyNumberFormat="1" applyFont="1" applyFill="1" applyBorder="1" applyAlignment="1">
      <alignment horizontal="right"/>
    </xf>
    <xf numFmtId="0" fontId="4" fillId="0" borderId="11" xfId="0" applyFont="1" applyFill="1" applyBorder="1" applyAlignment="1">
      <alignment horizontal="left" indent="5"/>
    </xf>
    <xf numFmtId="165" fontId="11" fillId="0" borderId="3" xfId="1" applyNumberFormat="1" applyFont="1" applyBorder="1" applyAlignment="1">
      <alignment horizontal="center"/>
    </xf>
    <xf numFmtId="165" fontId="11" fillId="0" borderId="3" xfId="1" applyNumberFormat="1" applyFont="1" applyBorder="1" applyAlignment="1"/>
    <xf numFmtId="0" fontId="3" fillId="10" borderId="2" xfId="0" applyFont="1" applyFill="1" applyBorder="1" applyAlignment="1">
      <alignment wrapText="1"/>
    </xf>
    <xf numFmtId="165" fontId="3" fillId="10" borderId="2" xfId="0" applyNumberFormat="1" applyFont="1" applyFill="1" applyBorder="1" applyAlignment="1">
      <alignment wrapText="1"/>
    </xf>
    <xf numFmtId="0" fontId="12" fillId="0" borderId="0" xfId="0" applyFont="1" applyAlignment="1">
      <alignment vertical="center"/>
    </xf>
    <xf numFmtId="0" fontId="11" fillId="0" borderId="4" xfId="0" applyFont="1" applyFill="1" applyBorder="1" applyAlignment="1">
      <alignment horizontal="left" indent="1"/>
    </xf>
    <xf numFmtId="0" fontId="4" fillId="0" borderId="4" xfId="0" applyFont="1" applyFill="1" applyBorder="1" applyAlignment="1">
      <alignment horizontal="left" indent="2"/>
    </xf>
    <xf numFmtId="0" fontId="4" fillId="0" borderId="4" xfId="0" applyFont="1" applyFill="1" applyBorder="1" applyAlignment="1">
      <alignment horizontal="left" wrapText="1" indent="1"/>
    </xf>
    <xf numFmtId="0" fontId="4" fillId="0" borderId="0" xfId="0" applyFont="1" applyFill="1" applyBorder="1" applyAlignment="1">
      <alignment horizontal="left" indent="1"/>
    </xf>
    <xf numFmtId="0" fontId="3" fillId="11" borderId="1" xfId="0" applyFont="1" applyFill="1" applyBorder="1" applyAlignment="1">
      <alignment horizontal="center" wrapText="1"/>
    </xf>
    <xf numFmtId="164" fontId="3" fillId="11" borderId="3" xfId="0" applyNumberFormat="1" applyFont="1" applyFill="1" applyBorder="1" applyAlignment="1">
      <alignment horizontal="center"/>
    </xf>
    <xf numFmtId="164" fontId="3" fillId="11" borderId="3" xfId="0" quotePrefix="1" applyNumberFormat="1" applyFont="1" applyFill="1" applyBorder="1" applyAlignment="1">
      <alignment horizontal="center"/>
    </xf>
    <xf numFmtId="165" fontId="3" fillId="11" borderId="3" xfId="1" applyNumberFormat="1" applyFont="1" applyFill="1" applyBorder="1" applyAlignment="1">
      <alignment horizontal="center"/>
    </xf>
    <xf numFmtId="165" fontId="4" fillId="11" borderId="3" xfId="1" applyNumberFormat="1" applyFont="1" applyFill="1" applyBorder="1" applyAlignment="1">
      <alignment horizontal="center"/>
    </xf>
    <xf numFmtId="165" fontId="11" fillId="11" borderId="3" xfId="1" applyNumberFormat="1" applyFont="1" applyFill="1" applyBorder="1" applyAlignment="1">
      <alignment horizontal="center"/>
    </xf>
    <xf numFmtId="165" fontId="3" fillId="11" borderId="3" xfId="1" applyNumberFormat="1" applyFont="1" applyFill="1" applyBorder="1" applyAlignment="1"/>
    <xf numFmtId="165" fontId="3" fillId="11" borderId="3" xfId="1" applyNumberFormat="1" applyFont="1" applyFill="1" applyBorder="1" applyAlignment="1">
      <alignment horizontal="right"/>
    </xf>
    <xf numFmtId="165" fontId="4" fillId="11" borderId="5" xfId="1" applyNumberFormat="1" applyFont="1" applyFill="1" applyBorder="1" applyAlignment="1">
      <alignment horizontal="center"/>
    </xf>
    <xf numFmtId="165" fontId="13" fillId="0" borderId="0" xfId="1" applyNumberFormat="1" applyFont="1" applyFill="1" applyAlignment="1">
      <alignment vertical="top" wrapText="1"/>
    </xf>
    <xf numFmtId="0" fontId="15" fillId="11" borderId="2" xfId="3" applyFont="1" applyFill="1" applyBorder="1" applyAlignment="1" applyProtection="1">
      <alignment horizontal="left"/>
      <protection hidden="1"/>
    </xf>
    <xf numFmtId="0" fontId="15" fillId="11" borderId="2" xfId="3" applyFont="1" applyFill="1" applyBorder="1" applyAlignment="1" applyProtection="1">
      <alignment horizontal="right"/>
      <protection hidden="1"/>
    </xf>
    <xf numFmtId="0" fontId="15" fillId="12" borderId="2" xfId="3" applyFont="1" applyFill="1" applyBorder="1" applyAlignment="1" applyProtection="1">
      <alignment horizontal="left"/>
      <protection hidden="1"/>
    </xf>
    <xf numFmtId="0" fontId="5" fillId="13" borderId="2" xfId="3" applyFont="1" applyFill="1" applyBorder="1" applyAlignment="1" applyProtection="1">
      <alignment horizontal="left"/>
      <protection hidden="1"/>
    </xf>
    <xf numFmtId="49" fontId="5" fillId="13" borderId="2" xfId="3" applyNumberFormat="1" applyFont="1" applyFill="1" applyBorder="1" applyAlignment="1" applyProtection="1">
      <alignment horizontal="left"/>
      <protection hidden="1"/>
    </xf>
    <xf numFmtId="4" fontId="5" fillId="13" borderId="2" xfId="3" applyNumberFormat="1" applyFont="1" applyFill="1" applyBorder="1" applyAlignment="1" applyProtection="1">
      <alignment horizontal="right"/>
      <protection hidden="1"/>
    </xf>
    <xf numFmtId="0" fontId="15" fillId="14" borderId="2" xfId="3" applyFont="1" applyFill="1" applyBorder="1" applyAlignment="1" applyProtection="1">
      <alignment horizontal="left"/>
      <protection hidden="1"/>
    </xf>
    <xf numFmtId="0" fontId="5" fillId="15" borderId="2" xfId="3" applyFont="1" applyFill="1" applyBorder="1" applyAlignment="1" applyProtection="1">
      <alignment horizontal="left"/>
      <protection locked="0" hidden="1"/>
    </xf>
    <xf numFmtId="49" fontId="5" fillId="15" borderId="2" xfId="3" quotePrefix="1" applyNumberFormat="1" applyFont="1" applyFill="1" applyBorder="1" applyAlignment="1" applyProtection="1">
      <alignment horizontal="left"/>
      <protection locked="0" hidden="1"/>
    </xf>
    <xf numFmtId="4" fontId="5" fillId="15" borderId="2" xfId="3" applyNumberFormat="1" applyFont="1" applyFill="1" applyBorder="1" applyAlignment="1" applyProtection="1">
      <alignment horizontal="right"/>
      <protection locked="0" hidden="1"/>
    </xf>
    <xf numFmtId="0" fontId="5" fillId="0" borderId="2" xfId="3" applyFont="1" applyBorder="1" applyAlignment="1" applyProtection="1">
      <alignment horizontal="left"/>
      <protection hidden="1"/>
    </xf>
    <xf numFmtId="4" fontId="15" fillId="11" borderId="2" xfId="3" applyNumberFormat="1" applyFont="1" applyFill="1" applyBorder="1" applyAlignment="1" applyProtection="1">
      <alignment horizontal="right"/>
      <protection locked="0" hidden="1"/>
    </xf>
    <xf numFmtId="2" fontId="0" fillId="0" borderId="0" xfId="0" applyNumberFormat="1"/>
    <xf numFmtId="43" fontId="0" fillId="0" borderId="0" xfId="1" applyFont="1"/>
  </cellXfs>
  <cellStyles count="4">
    <cellStyle name="Comma" xfId="1" builtinId="3"/>
    <cellStyle name="Currency" xfId="2" builtinId="4"/>
    <cellStyle name="Normal" xfId="0" builtinId="0"/>
    <cellStyle name="Normal 2" xfId="3" xr:uid="{FD84750C-D26D-4B21-B221-7C540E5BF6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n-GB"/>
              <a:t>Bid for 21/22 Capital compared to current approved 5 year forecast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15734863244717"/>
          <c:y val="0.16608233731739708"/>
          <c:w val="0.74053277547832175"/>
          <c:h val="0.592062615679016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 Summary 21-22'!$B$25</c:f>
              <c:strCache>
                <c:ptCount val="1"/>
                <c:pt idx="0">
                  <c:v>Approved programme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cat>
            <c:strRef>
              <c:f>' Summary 21-22'!$A$26:$A$30</c:f>
              <c:strCache>
                <c:ptCount val="5"/>
                <c:pt idx="1">
                  <c:v>ICT Strategy</c:v>
                </c:pt>
                <c:pt idx="2">
                  <c:v>Accommodation Strategy</c:v>
                </c:pt>
                <c:pt idx="3">
                  <c:v>Vehicle Replacement Programme</c:v>
                </c:pt>
                <c:pt idx="4">
                  <c:v>Other Schemes</c:v>
                </c:pt>
              </c:strCache>
            </c:strRef>
          </c:cat>
          <c:val>
            <c:numRef>
              <c:f>' Summary 21-22'!$B$26:$B$30</c:f>
              <c:numCache>
                <c:formatCode>_-"£"* #,##0_-;\-"£"* #,##0_-;_-"£"* "-"??_-;_-@_-</c:formatCode>
                <c:ptCount val="5"/>
                <c:pt idx="1">
                  <c:v>6254000</c:v>
                </c:pt>
                <c:pt idx="2">
                  <c:v>26000000</c:v>
                </c:pt>
                <c:pt idx="3">
                  <c:v>2600000</c:v>
                </c:pt>
                <c:pt idx="4">
                  <c:v>972000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59-4E0A-88BA-7C409C67A46E}"/>
            </c:ext>
          </c:extLst>
        </c:ser>
        <c:ser>
          <c:idx val="1"/>
          <c:order val="1"/>
          <c:tx>
            <c:strRef>
              <c:f>' Summary 21-22'!$C$25</c:f>
              <c:strCache>
                <c:ptCount val="1"/>
                <c:pt idx="0">
                  <c:v>Current bid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cat>
            <c:strRef>
              <c:f>' Summary 21-22'!$A$26:$A$30</c:f>
              <c:strCache>
                <c:ptCount val="5"/>
                <c:pt idx="1">
                  <c:v>ICT Strategy</c:v>
                </c:pt>
                <c:pt idx="2">
                  <c:v>Accommodation Strategy</c:v>
                </c:pt>
                <c:pt idx="3">
                  <c:v>Vehicle Replacement Programme</c:v>
                </c:pt>
                <c:pt idx="4">
                  <c:v>Other Schemes</c:v>
                </c:pt>
              </c:strCache>
            </c:strRef>
          </c:cat>
          <c:val>
            <c:numRef>
              <c:f>' Summary 21-22'!$C$26:$C$30</c:f>
              <c:numCache>
                <c:formatCode>_-"£"* #,##0_-;\-"£"* #,##0_-;_-"£"* "-"??_-;_-@_-</c:formatCode>
                <c:ptCount val="5"/>
                <c:pt idx="1">
                  <c:v>7160238</c:v>
                </c:pt>
                <c:pt idx="2">
                  <c:v>12725463</c:v>
                </c:pt>
                <c:pt idx="3">
                  <c:v>4000000</c:v>
                </c:pt>
                <c:pt idx="4">
                  <c:v>1032000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59-4E0A-88BA-7C409C67A46E}"/>
            </c:ext>
          </c:extLst>
        </c:ser>
        <c:ser>
          <c:idx val="2"/>
          <c:order val="2"/>
          <c:tx>
            <c:strRef>
              <c:f>' Summary 21-22'!$D$25</c:f>
              <c:strCache>
                <c:ptCount val="1"/>
                <c:pt idx="0">
                  <c:v>Provisional Allocation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cat>
            <c:strRef>
              <c:f>' Summary 21-22'!$A$26:$A$30</c:f>
              <c:strCache>
                <c:ptCount val="5"/>
                <c:pt idx="1">
                  <c:v>ICT Strategy</c:v>
                </c:pt>
                <c:pt idx="2">
                  <c:v>Accommodation Strategy</c:v>
                </c:pt>
                <c:pt idx="3">
                  <c:v>Vehicle Replacement Programme</c:v>
                </c:pt>
                <c:pt idx="4">
                  <c:v>Other Schemes</c:v>
                </c:pt>
              </c:strCache>
            </c:strRef>
          </c:cat>
          <c:val>
            <c:numRef>
              <c:f>' Summary 21-22'!$D$26:$D$30</c:f>
              <c:numCache>
                <c:formatCode>_-"£"* #,##0_-;\-"£"* #,##0_-;_-"£"* "-"??_-;_-@_-</c:formatCode>
                <c:ptCount val="5"/>
                <c:pt idx="1">
                  <c:v>6086202.2999999998</c:v>
                </c:pt>
                <c:pt idx="2">
                  <c:v>10816643.549999999</c:v>
                </c:pt>
                <c:pt idx="3">
                  <c:v>3400000</c:v>
                </c:pt>
                <c:pt idx="4">
                  <c:v>877200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C2-4E28-9882-D983F6A317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5"/>
        <c:overlap val="-20"/>
        <c:axId val="1416854912"/>
        <c:axId val="1679315872"/>
      </c:barChart>
      <c:catAx>
        <c:axId val="14168549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9315872"/>
        <c:crosses val="autoZero"/>
        <c:auto val="1"/>
        <c:lblAlgn val="ctr"/>
        <c:lblOffset val="100"/>
        <c:noMultiLvlLbl val="0"/>
      </c:catAx>
      <c:valAx>
        <c:axId val="16793158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&quot;£&quot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6854912"/>
        <c:crosses val="autoZero"/>
        <c:crossBetween val="between"/>
        <c:dispUnits>
          <c:builtInUnit val="millions"/>
          <c:dispUnits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cap="all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</c:dispUnitsLbl>
        </c:dispUnits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2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409575</xdr:colOff>
      <xdr:row>32</xdr:row>
      <xdr:rowOff>133350</xdr:rowOff>
    </xdr:from>
    <xdr:to>
      <xdr:col>6</xdr:col>
      <xdr:colOff>285750</xdr:colOff>
      <xdr:row>62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612B714-46CD-49AF-BE9E-552AA5F295D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0.65275</cdr:x>
      <cdr:y>0.26955</cdr:y>
    </cdr:from>
    <cdr:to>
      <cdr:x>0.83861</cdr:x>
      <cdr:y>0.37313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D1BAA493-82FE-44EE-8713-E6DC171DCACE}"/>
            </a:ext>
          </a:extLst>
        </cdr:cNvPr>
        <cdr:cNvSpPr txBox="1"/>
      </cdr:nvSpPr>
      <cdr:spPr>
        <a:xfrm xmlns:a="http://schemas.openxmlformats.org/drawingml/2006/main">
          <a:off x="5444912" y="1327379"/>
          <a:ext cx="1550355" cy="51007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100"/>
            <a:t>C/f of £18m offsets requirement for 21/22</a:t>
          </a:r>
        </a:p>
      </cdr:txBody>
    </cdr:sp>
  </cdr:relSizeAnchor>
  <cdr:relSizeAnchor xmlns:cdr="http://schemas.openxmlformats.org/drawingml/2006/chartDrawing">
    <cdr:from>
      <cdr:x>0.49654</cdr:x>
      <cdr:y>0.33742</cdr:y>
    </cdr:from>
    <cdr:to>
      <cdr:x>0.65047</cdr:x>
      <cdr:y>0.41311</cdr:y>
    </cdr:to>
    <cdr:cxnSp macro="">
      <cdr:nvCxnSpPr>
        <cdr:cNvPr id="4" name="Straight Arrow Connector 3">
          <a:extLst xmlns:a="http://schemas.openxmlformats.org/drawingml/2006/main">
            <a:ext uri="{FF2B5EF4-FFF2-40B4-BE49-F238E27FC236}">
              <a16:creationId xmlns:a16="http://schemas.microsoft.com/office/drawing/2014/main" id="{B93C0422-D918-4CA2-B477-04FB70F72641}"/>
            </a:ext>
          </a:extLst>
        </cdr:cNvPr>
        <cdr:cNvCxnSpPr/>
      </cdr:nvCxnSpPr>
      <cdr:spPr>
        <a:xfrm xmlns:a="http://schemas.openxmlformats.org/drawingml/2006/main" flipH="1">
          <a:off x="4141885" y="1661595"/>
          <a:ext cx="1284010" cy="372730"/>
        </a:xfrm>
        <a:prstGeom xmlns:a="http://schemas.openxmlformats.org/drawingml/2006/main" prst="straightConnector1">
          <a:avLst/>
        </a:prstGeom>
        <a:ln xmlns:a="http://schemas.openxmlformats.org/drawingml/2006/main">
          <a:tailEnd type="triangle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persons/person.xml><?xml version="1.0" encoding="utf-8"?>
<personList xmlns="http://schemas.microsoft.com/office/spreadsheetml/2018/threadedcomments" xmlns:x="http://schemas.openxmlformats.org/spreadsheetml/2006/main">
  <person displayName="Wiseman, Sandra" id="{102D91D2-9721-45AE-863E-4CBFBA8261F7}" userId="S::Sandra.Wiseman@lancashire.police.uk::bdb895ce-652b-4b85-b2e9-20ee7b65a362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F19" dT="2021-01-19T18:40:31.67" personId="{102D91D2-9721-45AE-863E-4CBFBA8261F7}" id="{039D535A-28BC-4334-A857-42305E880B7B}">
    <text>Addition of £250k underspend from 20/21 programme.  £350k for Greenbank.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B50" dT="2021-01-28T15:54:04.93" personId="{102D91D2-9721-45AE-863E-4CBFBA8261F7}" id="{DB6DDF32-73CC-4041-A20F-84263ABC3A6E}">
    <text>Reduce by Taser grant amount to fund Taser revenue costs</text>
  </threadedComment>
  <threadedComment ref="E51" dT="2021-01-28T17:50:16.91" personId="{102D91D2-9721-45AE-863E-4CBFBA8261F7}" id="{88595B12-6841-40A6-A8C3-D98B8C644596}">
    <text>Not received yet</text>
  </threadedComment>
  <threadedComment ref="B61" dT="2021-01-28T15:59:34.21" personId="{102D91D2-9721-45AE-863E-4CBFBA8261F7}" id="{75EF5C38-CCF0-4ECE-B2AE-75A9A60C5E1B}">
    <text>May not buy but use CSI run ons instead</text>
  </threadedComment>
  <threadedComment ref="B108" dT="2021-02-18T14:12:20.37" personId="{102D91D2-9721-45AE-863E-4CBFBA8261F7}" id="{F869B0E2-5637-4B5C-B145-E4458B792A52}">
    <text>£1m digital</text>
  </threadedComment>
  <threadedComment ref="C108" dT="2021-02-18T15:16:21.91" personId="{102D91D2-9721-45AE-863E-4CBFBA8261F7}" id="{2ED600F5-9C99-4B43-8D95-D67AEFE4CA6C}">
    <text>As per rev budget.  Mainly from PUP</text>
  </threadedComment>
  <threadedComment ref="D108" dT="2021-02-18T14:15:09.99" personId="{102D91D2-9721-45AE-863E-4CBFBA8261F7}" id="{726E2EE8-4F46-4CA1-ACD1-4E59FFB5E60E}">
    <text>Catterall &amp; Coupe Green</text>
  </threadedComment>
  <threadedComment ref="I108" dT="2021-02-18T14:15:19.30" personId="{102D91D2-9721-45AE-863E-4CBFBA8261F7}" id="{7291ADC7-4D1B-43C6-85EE-217C05191F9C}">
    <text>Solar panels</text>
  </threadedComment>
  <threadedComment ref="C121" dT="2021-02-18T16:28:14.92" personId="{102D91D2-9721-45AE-863E-4CBFBA8261F7}" id="{43DCB685-DBCB-41D5-9469-7AD1FEEC46E8}">
    <text>Balancing figures.  Minimum additional contribution to reserves required</text>
  </threadedComment>
  <threadedComment ref="B123" dT="2021-02-18T15:36:27.97" personId="{102D91D2-9721-45AE-863E-4CBFBA8261F7}" id="{C5C1E00C-9946-456D-9EC5-F255BADB3C83}">
    <text>Assume FFE</text>
  </threadedComment>
  <threadedComment ref="B131" dT="2021-02-18T15:36:27.97" personId="{102D91D2-9721-45AE-863E-4CBFBA8261F7}" id="{ADD8633D-5A32-43AF-8E59-8D99C352AACD}">
    <text>Assume FFE</text>
  </threadedComment>
  <threadedComment ref="B139" dT="2021-02-18T15:36:27.97" personId="{102D91D2-9721-45AE-863E-4CBFBA8261F7}" id="{3DDD40A7-9C11-4122-9495-9C1B78DDB829}">
    <text>Assume FFE</text>
  </threadedComment>
  <threadedComment ref="B147" dT="2021-02-18T15:36:27.97" personId="{102D91D2-9721-45AE-863E-4CBFBA8261F7}" id="{55A8F5EC-DA42-433C-A02A-AAD292BFE89A}">
    <text>Assume FFE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Relationship Id="rId4" Type="http://schemas.microsoft.com/office/2017/10/relationships/threadedComment" Target="../threadedComments/threadedComment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FBDBE7-B74E-48C0-972A-636F3DAD08C3}">
  <sheetPr>
    <pageSetUpPr fitToPage="1"/>
  </sheetPr>
  <dimension ref="A1:K273"/>
  <sheetViews>
    <sheetView zoomScale="80" zoomScaleNormal="80" workbookViewId="0"/>
  </sheetViews>
  <sheetFormatPr defaultRowHeight="12.75" x14ac:dyDescent="0.2"/>
  <cols>
    <col min="1" max="1" width="77.5703125" bestFit="1" customWidth="1"/>
    <col min="2" max="6" width="18.42578125" customWidth="1"/>
    <col min="7" max="7" width="18.42578125" style="19" customWidth="1"/>
    <col min="8" max="9" width="18.42578125" style="20" customWidth="1"/>
    <col min="10" max="10" width="18.42578125" customWidth="1"/>
    <col min="11" max="11" width="73.42578125" customWidth="1"/>
  </cols>
  <sheetData>
    <row r="1" spans="1:10" ht="15" x14ac:dyDescent="0.25">
      <c r="A1" s="1" t="s">
        <v>54</v>
      </c>
      <c r="B1" s="1"/>
      <c r="C1" s="1"/>
      <c r="D1" s="1"/>
      <c r="E1" s="2"/>
      <c r="F1" s="2"/>
      <c r="G1" s="2"/>
      <c r="H1" s="3"/>
      <c r="I1" s="3"/>
      <c r="J1" s="2"/>
    </row>
    <row r="2" spans="1:10" ht="45" x14ac:dyDescent="0.25">
      <c r="A2" s="4"/>
      <c r="B2" s="98" t="s">
        <v>246</v>
      </c>
      <c r="C2" s="98" t="s">
        <v>247</v>
      </c>
      <c r="D2" s="98" t="s">
        <v>248</v>
      </c>
      <c r="E2" s="5" t="s">
        <v>0</v>
      </c>
      <c r="F2" s="5" t="s">
        <v>1</v>
      </c>
      <c r="G2" s="5" t="s">
        <v>2</v>
      </c>
      <c r="H2" s="6" t="s">
        <v>3</v>
      </c>
      <c r="I2" s="6" t="s">
        <v>56</v>
      </c>
      <c r="J2" s="5" t="s">
        <v>4</v>
      </c>
    </row>
    <row r="3" spans="1:10" ht="15" x14ac:dyDescent="0.25">
      <c r="A3" s="7"/>
      <c r="B3" s="99"/>
      <c r="C3" s="99"/>
      <c r="D3" s="99"/>
      <c r="E3" s="8"/>
      <c r="F3" s="8"/>
      <c r="G3" s="8"/>
      <c r="H3" s="9"/>
      <c r="I3" s="9"/>
      <c r="J3" s="8"/>
    </row>
    <row r="4" spans="1:10" ht="15" x14ac:dyDescent="0.25">
      <c r="A4" s="7"/>
      <c r="B4" s="99"/>
      <c r="C4" s="99"/>
      <c r="D4" s="99"/>
      <c r="E4" s="8"/>
      <c r="F4" s="8"/>
      <c r="G4" s="8"/>
      <c r="H4" s="10"/>
      <c r="I4" s="10"/>
      <c r="J4" s="8"/>
    </row>
    <row r="5" spans="1:10" ht="15" x14ac:dyDescent="0.25">
      <c r="A5" s="11" t="s">
        <v>5</v>
      </c>
      <c r="B5" s="100" t="s">
        <v>6</v>
      </c>
      <c r="C5" s="100"/>
      <c r="D5" s="100"/>
      <c r="E5" s="12" t="s">
        <v>6</v>
      </c>
      <c r="F5" s="12" t="s">
        <v>6</v>
      </c>
      <c r="G5" s="12" t="s">
        <v>6</v>
      </c>
      <c r="H5" s="12" t="s">
        <v>6</v>
      </c>
      <c r="I5" s="12" t="s">
        <v>6</v>
      </c>
      <c r="J5" s="12" t="s">
        <v>6</v>
      </c>
    </row>
    <row r="6" spans="1:10" ht="15" x14ac:dyDescent="0.25">
      <c r="A6" s="13" t="s">
        <v>7</v>
      </c>
      <c r="B6" s="99"/>
      <c r="C6" s="99"/>
      <c r="D6" s="99"/>
      <c r="E6" s="8"/>
      <c r="F6" s="8"/>
      <c r="G6" s="8"/>
      <c r="H6" s="9"/>
      <c r="I6" s="9"/>
      <c r="J6" s="8"/>
    </row>
    <row r="7" spans="1:10" ht="15" x14ac:dyDescent="0.25">
      <c r="A7" s="13"/>
      <c r="B7" s="99"/>
      <c r="C7" s="99"/>
      <c r="D7" s="99"/>
      <c r="E7" s="8"/>
      <c r="F7" s="8"/>
      <c r="G7" s="8"/>
      <c r="H7" s="9"/>
      <c r="I7" s="9"/>
      <c r="J7" s="8"/>
    </row>
    <row r="8" spans="1:10" ht="15" x14ac:dyDescent="0.25">
      <c r="A8" s="13" t="s">
        <v>8</v>
      </c>
      <c r="B8" s="101"/>
      <c r="C8" s="101"/>
      <c r="D8" s="101"/>
      <c r="E8" s="14"/>
      <c r="F8" s="14"/>
      <c r="G8" s="14"/>
      <c r="H8" s="9"/>
      <c r="I8" s="9"/>
      <c r="J8" s="14"/>
    </row>
    <row r="9" spans="1:10" ht="14.25" x14ac:dyDescent="0.2">
      <c r="A9" s="31" t="s">
        <v>9</v>
      </c>
      <c r="B9" s="102"/>
      <c r="C9" s="102">
        <v>998000</v>
      </c>
      <c r="D9" s="102">
        <v>-251082</v>
      </c>
      <c r="E9" s="16">
        <f>SUM(B9:D9)</f>
        <v>746918</v>
      </c>
      <c r="F9" s="16">
        <v>840000</v>
      </c>
      <c r="G9" s="16">
        <v>882000</v>
      </c>
      <c r="H9" s="27">
        <v>926000</v>
      </c>
      <c r="I9" s="27">
        <v>926000</v>
      </c>
      <c r="J9" s="16">
        <f>SUM(E9:I9)</f>
        <v>4320918</v>
      </c>
    </row>
    <row r="10" spans="1:10" ht="15" x14ac:dyDescent="0.25">
      <c r="A10" s="31" t="s">
        <v>10</v>
      </c>
      <c r="B10" s="102">
        <v>9000</v>
      </c>
      <c r="C10" s="102">
        <v>398000</v>
      </c>
      <c r="D10" s="102">
        <v>44182</v>
      </c>
      <c r="E10" s="16">
        <f>SUM(B10:D10)</f>
        <v>451182</v>
      </c>
      <c r="F10" s="16"/>
      <c r="G10" s="16">
        <v>1600000</v>
      </c>
      <c r="H10" s="14"/>
      <c r="I10" s="14"/>
      <c r="J10" s="16">
        <f>SUM(E10:I10)</f>
        <v>2051182</v>
      </c>
    </row>
    <row r="11" spans="1:10" ht="15" x14ac:dyDescent="0.25">
      <c r="A11" s="15"/>
      <c r="B11" s="102"/>
      <c r="C11" s="102"/>
      <c r="D11" s="102"/>
      <c r="E11" s="16"/>
      <c r="F11" s="16"/>
      <c r="G11" s="16"/>
      <c r="H11" s="28"/>
      <c r="I11" s="28"/>
      <c r="J11" s="16"/>
    </row>
    <row r="12" spans="1:10" ht="15" x14ac:dyDescent="0.25">
      <c r="A12" s="17" t="s">
        <v>11</v>
      </c>
      <c r="B12" s="101">
        <f t="shared" ref="B12:J12" si="0">SUM(B9:B11)</f>
        <v>9000</v>
      </c>
      <c r="C12" s="101">
        <v>1396000</v>
      </c>
      <c r="D12" s="101">
        <f t="shared" si="0"/>
        <v>-206900</v>
      </c>
      <c r="E12" s="14">
        <f t="shared" si="0"/>
        <v>1198100</v>
      </c>
      <c r="F12" s="14">
        <f t="shared" si="0"/>
        <v>840000</v>
      </c>
      <c r="G12" s="14">
        <f t="shared" si="0"/>
        <v>2482000</v>
      </c>
      <c r="H12" s="14">
        <f t="shared" si="0"/>
        <v>926000</v>
      </c>
      <c r="I12" s="14">
        <f t="shared" si="0"/>
        <v>926000</v>
      </c>
      <c r="J12" s="14">
        <f t="shared" si="0"/>
        <v>6372100</v>
      </c>
    </row>
    <row r="13" spans="1:10" ht="15" x14ac:dyDescent="0.25">
      <c r="A13" s="15"/>
      <c r="B13" s="102"/>
      <c r="C13" s="102"/>
      <c r="D13" s="102"/>
      <c r="E13" s="16"/>
      <c r="F13" s="16"/>
      <c r="G13" s="16"/>
      <c r="H13" s="28"/>
      <c r="I13" s="28"/>
      <c r="J13" s="16"/>
    </row>
    <row r="14" spans="1:10" ht="15" x14ac:dyDescent="0.25">
      <c r="A14" s="17" t="s">
        <v>12</v>
      </c>
      <c r="B14" s="102"/>
      <c r="C14" s="102"/>
      <c r="D14" s="102"/>
      <c r="E14" s="16"/>
      <c r="F14" s="16"/>
      <c r="G14" s="16"/>
      <c r="H14" s="28"/>
      <c r="I14" s="28"/>
      <c r="J14" s="16"/>
    </row>
    <row r="15" spans="1:10" ht="15" x14ac:dyDescent="0.25">
      <c r="A15" s="18"/>
      <c r="B15" s="102"/>
      <c r="C15" s="102"/>
      <c r="D15" s="102"/>
      <c r="E15" s="16"/>
      <c r="F15" s="16"/>
      <c r="G15" s="16"/>
      <c r="H15" s="28"/>
      <c r="I15" s="28"/>
      <c r="J15" s="16"/>
    </row>
    <row r="16" spans="1:10" ht="15" x14ac:dyDescent="0.25">
      <c r="A16" s="31" t="s">
        <v>13</v>
      </c>
      <c r="B16" s="102"/>
      <c r="C16" s="102"/>
      <c r="D16" s="102"/>
      <c r="E16" s="16">
        <f t="shared" ref="E16:E30" si="1">SUM(B16:D16)</f>
        <v>0</v>
      </c>
      <c r="F16" s="16"/>
      <c r="G16" s="16">
        <v>1000000</v>
      </c>
      <c r="H16" s="28"/>
      <c r="I16" s="28"/>
      <c r="J16" s="16">
        <f t="shared" ref="J16:J30" si="2">SUM(E16:I16)</f>
        <v>1000000</v>
      </c>
    </row>
    <row r="17" spans="1:11" ht="14.25" x14ac:dyDescent="0.2">
      <c r="A17" s="31" t="s">
        <v>14</v>
      </c>
      <c r="B17" s="102">
        <v>272000</v>
      </c>
      <c r="C17" s="102"/>
      <c r="D17" s="102"/>
      <c r="E17" s="16">
        <f t="shared" si="1"/>
        <v>272000</v>
      </c>
      <c r="F17" s="16"/>
      <c r="G17" s="16">
        <v>0</v>
      </c>
      <c r="H17" s="27">
        <v>1500000</v>
      </c>
      <c r="I17" s="27"/>
      <c r="J17" s="16">
        <f t="shared" si="2"/>
        <v>1772000</v>
      </c>
    </row>
    <row r="18" spans="1:11" ht="14.25" x14ac:dyDescent="0.2">
      <c r="A18" s="31" t="s">
        <v>15</v>
      </c>
      <c r="B18" s="102">
        <v>1000</v>
      </c>
      <c r="C18" s="102">
        <v>115000</v>
      </c>
      <c r="D18" s="102"/>
      <c r="E18" s="16">
        <f t="shared" si="1"/>
        <v>116000</v>
      </c>
      <c r="F18" s="16">
        <v>55000</v>
      </c>
      <c r="G18" s="16">
        <v>58000</v>
      </c>
      <c r="H18" s="27">
        <v>61000</v>
      </c>
      <c r="I18" s="27"/>
      <c r="J18" s="16">
        <f t="shared" si="2"/>
        <v>290000</v>
      </c>
    </row>
    <row r="19" spans="1:11" ht="14.25" x14ac:dyDescent="0.2">
      <c r="A19" s="31" t="s">
        <v>16</v>
      </c>
      <c r="B19" s="102"/>
      <c r="C19" s="102"/>
      <c r="D19" s="102"/>
      <c r="E19" s="16">
        <f t="shared" si="1"/>
        <v>0</v>
      </c>
      <c r="F19" s="16">
        <f>100000+250000</f>
        <v>350000</v>
      </c>
      <c r="G19" s="16"/>
      <c r="H19" s="27"/>
      <c r="I19" s="27"/>
      <c r="J19" s="16">
        <f t="shared" si="2"/>
        <v>350000</v>
      </c>
    </row>
    <row r="20" spans="1:11" ht="14.25" x14ac:dyDescent="0.2">
      <c r="A20" s="31" t="s">
        <v>257</v>
      </c>
      <c r="B20" s="102">
        <v>12000</v>
      </c>
      <c r="C20" s="102">
        <v>58200</v>
      </c>
      <c r="D20" s="102"/>
      <c r="E20" s="16">
        <f t="shared" si="1"/>
        <v>70200</v>
      </c>
      <c r="F20" s="16">
        <v>250000</v>
      </c>
      <c r="G20" s="16">
        <v>250000</v>
      </c>
      <c r="H20" s="16">
        <v>250000</v>
      </c>
      <c r="I20" s="16"/>
      <c r="J20" s="16">
        <f t="shared" si="2"/>
        <v>820200</v>
      </c>
      <c r="K20" s="21"/>
    </row>
    <row r="21" spans="1:11" ht="14.25" x14ac:dyDescent="0.2">
      <c r="A21" s="31" t="s">
        <v>255</v>
      </c>
      <c r="B21" s="102"/>
      <c r="C21" s="102"/>
      <c r="D21" s="102">
        <v>127580</v>
      </c>
      <c r="E21" s="16">
        <f t="shared" si="1"/>
        <v>127580</v>
      </c>
      <c r="F21" s="16"/>
      <c r="G21" s="16"/>
      <c r="H21" s="16"/>
      <c r="I21" s="16"/>
      <c r="J21" s="16">
        <f t="shared" si="2"/>
        <v>127580</v>
      </c>
    </row>
    <row r="22" spans="1:11" ht="14.25" x14ac:dyDescent="0.2">
      <c r="A22" s="31" t="s">
        <v>256</v>
      </c>
      <c r="B22" s="102"/>
      <c r="C22" s="102"/>
      <c r="D22" s="102">
        <v>109000</v>
      </c>
      <c r="E22" s="16">
        <f t="shared" si="1"/>
        <v>109000</v>
      </c>
      <c r="F22" s="16"/>
      <c r="G22" s="16"/>
      <c r="H22" s="16"/>
      <c r="I22" s="16"/>
      <c r="J22" s="16">
        <f t="shared" si="2"/>
        <v>109000</v>
      </c>
    </row>
    <row r="23" spans="1:11" ht="14.25" x14ac:dyDescent="0.2">
      <c r="A23" s="97" t="s">
        <v>17</v>
      </c>
      <c r="B23" s="102">
        <v>17000</v>
      </c>
      <c r="C23" s="102">
        <v>25000</v>
      </c>
      <c r="D23" s="102"/>
      <c r="E23" s="16">
        <f t="shared" si="1"/>
        <v>42000</v>
      </c>
      <c r="F23" s="16"/>
      <c r="G23" s="16"/>
      <c r="H23" s="16"/>
      <c r="I23" s="16"/>
      <c r="J23" s="16">
        <f t="shared" si="2"/>
        <v>42000</v>
      </c>
      <c r="K23" s="21"/>
    </row>
    <row r="24" spans="1:11" ht="14.25" x14ac:dyDescent="0.2">
      <c r="A24" s="31" t="s">
        <v>18</v>
      </c>
      <c r="B24" s="102"/>
      <c r="C24" s="102">
        <v>260000</v>
      </c>
      <c r="D24" s="102">
        <v>5387.3199999999779</v>
      </c>
      <c r="E24" s="16">
        <f t="shared" si="1"/>
        <v>265387.31999999995</v>
      </c>
      <c r="F24" s="16">
        <v>250000</v>
      </c>
      <c r="G24" s="16">
        <v>250000</v>
      </c>
      <c r="H24" s="16"/>
      <c r="I24" s="16"/>
      <c r="J24" s="16">
        <f t="shared" si="2"/>
        <v>765387.32</v>
      </c>
      <c r="K24" s="21"/>
    </row>
    <row r="25" spans="1:11" ht="14.25" hidden="1" x14ac:dyDescent="0.2">
      <c r="A25" s="31" t="s">
        <v>19</v>
      </c>
      <c r="B25" s="102"/>
      <c r="C25" s="102"/>
      <c r="D25" s="102"/>
      <c r="E25" s="16">
        <f t="shared" si="1"/>
        <v>0</v>
      </c>
      <c r="F25" s="16"/>
      <c r="G25" s="16"/>
      <c r="H25" s="16"/>
      <c r="I25" s="16"/>
      <c r="J25" s="16">
        <f t="shared" si="2"/>
        <v>0</v>
      </c>
    </row>
    <row r="26" spans="1:11" ht="14.25" x14ac:dyDescent="0.2">
      <c r="A26" s="31" t="s">
        <v>20</v>
      </c>
      <c r="B26" s="102"/>
      <c r="C26" s="102"/>
      <c r="D26" s="102">
        <v>24723</v>
      </c>
      <c r="E26" s="16">
        <f t="shared" si="1"/>
        <v>24723</v>
      </c>
      <c r="F26" s="16"/>
      <c r="G26" s="16"/>
      <c r="H26" s="16"/>
      <c r="I26" s="16"/>
      <c r="J26" s="16">
        <f t="shared" si="2"/>
        <v>24723</v>
      </c>
    </row>
    <row r="27" spans="1:11" ht="14.25" x14ac:dyDescent="0.2">
      <c r="A27" s="31" t="s">
        <v>21</v>
      </c>
      <c r="B27" s="102"/>
      <c r="C27" s="102">
        <v>50000</v>
      </c>
      <c r="D27" s="102">
        <v>-1185</v>
      </c>
      <c r="E27" s="16">
        <f t="shared" si="1"/>
        <v>48815</v>
      </c>
      <c r="F27" s="16"/>
      <c r="G27" s="16"/>
      <c r="H27" s="16"/>
      <c r="I27" s="16"/>
      <c r="J27" s="16">
        <f t="shared" si="2"/>
        <v>48815</v>
      </c>
    </row>
    <row r="28" spans="1:11" ht="14.25" hidden="1" x14ac:dyDescent="0.2">
      <c r="A28" s="31" t="s">
        <v>22</v>
      </c>
      <c r="B28" s="102"/>
      <c r="C28" s="102"/>
      <c r="D28" s="102"/>
      <c r="E28" s="16">
        <f t="shared" si="1"/>
        <v>0</v>
      </c>
      <c r="F28" s="16"/>
      <c r="G28" s="16"/>
      <c r="H28" s="16"/>
      <c r="I28" s="16"/>
      <c r="J28" s="16">
        <f t="shared" si="2"/>
        <v>0</v>
      </c>
    </row>
    <row r="29" spans="1:11" ht="14.25" x14ac:dyDescent="0.2">
      <c r="A29" s="31" t="s">
        <v>58</v>
      </c>
      <c r="B29" s="102">
        <v>65000</v>
      </c>
      <c r="C29" s="102"/>
      <c r="D29" s="102"/>
      <c r="E29" s="16">
        <f t="shared" si="1"/>
        <v>65000</v>
      </c>
      <c r="F29" s="16"/>
      <c r="G29" s="16"/>
      <c r="H29" s="16"/>
      <c r="I29" s="16"/>
      <c r="J29" s="16">
        <f t="shared" si="2"/>
        <v>65000</v>
      </c>
    </row>
    <row r="30" spans="1:11" ht="14.25" x14ac:dyDescent="0.2">
      <c r="A30" s="31" t="s">
        <v>244</v>
      </c>
      <c r="B30" s="102"/>
      <c r="C30" s="102">
        <v>700000</v>
      </c>
      <c r="D30" s="102"/>
      <c r="E30" s="16">
        <f t="shared" si="1"/>
        <v>700000</v>
      </c>
      <c r="F30" s="16"/>
      <c r="G30" s="16"/>
      <c r="H30" s="16"/>
      <c r="I30" s="16"/>
      <c r="J30" s="16">
        <f t="shared" si="2"/>
        <v>700000</v>
      </c>
    </row>
    <row r="31" spans="1:11" ht="15" x14ac:dyDescent="0.25">
      <c r="A31" s="17" t="s">
        <v>23</v>
      </c>
      <c r="B31" s="101">
        <f t="shared" ref="B31:J31" si="3">SUM(B14:B30)</f>
        <v>367000</v>
      </c>
      <c r="C31" s="101">
        <f t="shared" si="3"/>
        <v>1208200</v>
      </c>
      <c r="D31" s="101">
        <f t="shared" si="3"/>
        <v>265505.31999999995</v>
      </c>
      <c r="E31" s="14">
        <f t="shared" si="3"/>
        <v>1840705.3199999998</v>
      </c>
      <c r="F31" s="14">
        <f t="shared" si="3"/>
        <v>905000</v>
      </c>
      <c r="G31" s="14">
        <f t="shared" si="3"/>
        <v>1558000</v>
      </c>
      <c r="H31" s="14">
        <f t="shared" si="3"/>
        <v>1811000</v>
      </c>
      <c r="I31" s="14">
        <f t="shared" si="3"/>
        <v>0</v>
      </c>
      <c r="J31" s="14">
        <f t="shared" si="3"/>
        <v>6114705.3200000003</v>
      </c>
    </row>
    <row r="32" spans="1:11" ht="15" x14ac:dyDescent="0.25">
      <c r="A32" s="17"/>
      <c r="B32" s="102"/>
      <c r="C32" s="102"/>
      <c r="D32" s="102"/>
      <c r="E32" s="16"/>
      <c r="F32" s="16"/>
      <c r="G32" s="16"/>
      <c r="H32" s="28"/>
      <c r="I32" s="28"/>
      <c r="J32" s="16"/>
    </row>
    <row r="33" spans="1:10" ht="15" x14ac:dyDescent="0.25">
      <c r="A33" s="17" t="s">
        <v>24</v>
      </c>
      <c r="B33" s="102"/>
      <c r="C33" s="102"/>
      <c r="D33" s="102"/>
      <c r="E33" s="16"/>
      <c r="F33" s="16"/>
      <c r="G33" s="16"/>
      <c r="H33" s="28"/>
      <c r="I33" s="28"/>
      <c r="J33" s="16"/>
    </row>
    <row r="34" spans="1:10" ht="14.25" x14ac:dyDescent="0.2">
      <c r="A34" s="31" t="s">
        <v>25</v>
      </c>
      <c r="B34" s="102"/>
      <c r="C34" s="102">
        <v>839000</v>
      </c>
      <c r="D34" s="102">
        <v>-122282</v>
      </c>
      <c r="E34" s="16">
        <f>SUM(B34:D34)</f>
        <v>716718</v>
      </c>
      <c r="F34" s="16">
        <v>840000</v>
      </c>
      <c r="G34" s="16">
        <v>882000</v>
      </c>
      <c r="H34" s="27">
        <v>926000</v>
      </c>
      <c r="I34" s="27">
        <v>926000</v>
      </c>
      <c r="J34" s="16">
        <f>SUM(E34:I34)</f>
        <v>4290718</v>
      </c>
    </row>
    <row r="35" spans="1:10" ht="15" x14ac:dyDescent="0.25">
      <c r="A35" s="18"/>
      <c r="B35" s="102"/>
      <c r="C35" s="102"/>
      <c r="D35" s="102"/>
      <c r="E35" s="16"/>
      <c r="F35" s="16"/>
      <c r="G35" s="16"/>
      <c r="H35" s="28"/>
      <c r="I35" s="28"/>
      <c r="J35" s="16"/>
    </row>
    <row r="36" spans="1:10" ht="15" x14ac:dyDescent="0.25">
      <c r="A36" s="17" t="s">
        <v>26</v>
      </c>
      <c r="B36" s="101">
        <f>SUM(B34:B35)</f>
        <v>0</v>
      </c>
      <c r="C36" s="101">
        <f t="shared" ref="C36:J36" si="4">SUM(C34:C35)</f>
        <v>839000</v>
      </c>
      <c r="D36" s="101">
        <f t="shared" si="4"/>
        <v>-122282</v>
      </c>
      <c r="E36" s="14">
        <f t="shared" si="4"/>
        <v>716718</v>
      </c>
      <c r="F36" s="14">
        <f t="shared" si="4"/>
        <v>840000</v>
      </c>
      <c r="G36" s="14">
        <f t="shared" si="4"/>
        <v>882000</v>
      </c>
      <c r="H36" s="14">
        <f t="shared" si="4"/>
        <v>926000</v>
      </c>
      <c r="I36" s="14">
        <f t="shared" si="4"/>
        <v>926000</v>
      </c>
      <c r="J36" s="14">
        <f t="shared" si="4"/>
        <v>4290718</v>
      </c>
    </row>
    <row r="37" spans="1:10" ht="15" x14ac:dyDescent="0.25">
      <c r="A37" s="17"/>
      <c r="B37" s="101"/>
      <c r="C37" s="101"/>
      <c r="D37" s="101"/>
      <c r="E37" s="14"/>
      <c r="F37" s="14"/>
      <c r="G37" s="14"/>
      <c r="H37" s="28"/>
      <c r="I37" s="28"/>
      <c r="J37" s="14"/>
    </row>
    <row r="38" spans="1:10" ht="15" x14ac:dyDescent="0.25">
      <c r="A38" s="17" t="s">
        <v>27</v>
      </c>
      <c r="B38" s="101"/>
      <c r="C38" s="101"/>
      <c r="D38" s="101"/>
      <c r="E38" s="14"/>
      <c r="F38" s="14"/>
      <c r="G38" s="14"/>
      <c r="H38" s="28"/>
      <c r="I38" s="28"/>
      <c r="J38" s="14"/>
    </row>
    <row r="39" spans="1:10" ht="15" hidden="1" x14ac:dyDescent="0.25">
      <c r="A39" s="22" t="s">
        <v>28</v>
      </c>
      <c r="B39" s="102"/>
      <c r="C39" s="102"/>
      <c r="D39" s="102"/>
      <c r="E39" s="16"/>
      <c r="F39" s="16"/>
      <c r="G39" s="16"/>
      <c r="H39" s="16"/>
      <c r="I39" s="14"/>
      <c r="J39" s="16">
        <f t="shared" ref="J39:J81" si="5">SUM(B39:I39)</f>
        <v>0</v>
      </c>
    </row>
    <row r="40" spans="1:10" ht="15" x14ac:dyDescent="0.25">
      <c r="A40" s="97" t="s">
        <v>29</v>
      </c>
      <c r="B40" s="102"/>
      <c r="C40" s="102">
        <v>178000</v>
      </c>
      <c r="D40" s="102">
        <v>92408.999999999971</v>
      </c>
      <c r="E40" s="16">
        <f t="shared" ref="E40:E72" si="6">SUM(B40:D40)</f>
        <v>270409</v>
      </c>
      <c r="F40" s="14"/>
      <c r="G40" s="14"/>
      <c r="H40" s="28"/>
      <c r="I40" s="28"/>
      <c r="J40" s="16">
        <f t="shared" ref="J40:J72" si="7">SUM(E40:I40)</f>
        <v>270409</v>
      </c>
    </row>
    <row r="41" spans="1:10" ht="15" hidden="1" x14ac:dyDescent="0.25">
      <c r="A41" s="97" t="s">
        <v>30</v>
      </c>
      <c r="B41" s="102"/>
      <c r="C41" s="102"/>
      <c r="D41" s="102"/>
      <c r="E41" s="16">
        <f t="shared" si="6"/>
        <v>0</v>
      </c>
      <c r="F41" s="14"/>
      <c r="G41" s="14"/>
      <c r="H41" s="14"/>
      <c r="I41" s="14"/>
      <c r="J41" s="16">
        <f t="shared" si="7"/>
        <v>0</v>
      </c>
    </row>
    <row r="42" spans="1:10" ht="15" x14ac:dyDescent="0.25">
      <c r="A42" s="97" t="s">
        <v>31</v>
      </c>
      <c r="B42" s="102">
        <v>248000</v>
      </c>
      <c r="C42" s="102"/>
      <c r="D42" s="102"/>
      <c r="E42" s="16">
        <f t="shared" si="6"/>
        <v>248000</v>
      </c>
      <c r="F42" s="14"/>
      <c r="G42" s="14"/>
      <c r="H42" s="14"/>
      <c r="I42" s="14"/>
      <c r="J42" s="16">
        <f t="shared" si="7"/>
        <v>248000</v>
      </c>
    </row>
    <row r="43" spans="1:10" ht="15" hidden="1" x14ac:dyDescent="0.25">
      <c r="A43" s="31" t="s">
        <v>59</v>
      </c>
      <c r="B43" s="102"/>
      <c r="C43" s="102"/>
      <c r="D43" s="102"/>
      <c r="E43" s="16">
        <f t="shared" si="6"/>
        <v>0</v>
      </c>
      <c r="F43" s="14"/>
      <c r="G43" s="14"/>
      <c r="H43" s="28"/>
      <c r="I43" s="28"/>
      <c r="J43" s="16">
        <f t="shared" si="7"/>
        <v>0</v>
      </c>
    </row>
    <row r="44" spans="1:10" ht="15" hidden="1" x14ac:dyDescent="0.25">
      <c r="A44" s="31" t="s">
        <v>66</v>
      </c>
      <c r="B44" s="102"/>
      <c r="C44" s="102"/>
      <c r="D44" s="102"/>
      <c r="E44" s="16">
        <f t="shared" si="6"/>
        <v>0</v>
      </c>
      <c r="F44" s="14"/>
      <c r="G44" s="14"/>
      <c r="H44" s="28"/>
      <c r="I44" s="28"/>
      <c r="J44" s="16">
        <f t="shared" si="7"/>
        <v>0</v>
      </c>
    </row>
    <row r="45" spans="1:10" ht="15" hidden="1" x14ac:dyDescent="0.25">
      <c r="A45" s="31" t="s">
        <v>67</v>
      </c>
      <c r="B45" s="102"/>
      <c r="C45" s="102"/>
      <c r="D45" s="102"/>
      <c r="E45" s="16">
        <f t="shared" si="6"/>
        <v>0</v>
      </c>
      <c r="F45" s="14"/>
      <c r="G45" s="14"/>
      <c r="H45" s="28"/>
      <c r="I45" s="28"/>
      <c r="J45" s="16">
        <f t="shared" si="7"/>
        <v>0</v>
      </c>
    </row>
    <row r="46" spans="1:10" ht="15" x14ac:dyDescent="0.25">
      <c r="A46" s="31" t="s">
        <v>68</v>
      </c>
      <c r="B46" s="102"/>
      <c r="C46" s="102">
        <v>41000</v>
      </c>
      <c r="D46" s="102"/>
      <c r="E46" s="16">
        <f t="shared" si="6"/>
        <v>41000</v>
      </c>
      <c r="F46" s="14"/>
      <c r="G46" s="14"/>
      <c r="H46" s="28"/>
      <c r="I46" s="28"/>
      <c r="J46" s="16">
        <f t="shared" si="7"/>
        <v>41000</v>
      </c>
    </row>
    <row r="47" spans="1:10" ht="15" x14ac:dyDescent="0.25">
      <c r="A47" s="31" t="s">
        <v>69</v>
      </c>
      <c r="B47" s="102"/>
      <c r="C47" s="102">
        <v>256500</v>
      </c>
      <c r="D47" s="102"/>
      <c r="E47" s="16">
        <f t="shared" si="6"/>
        <v>256500</v>
      </c>
      <c r="F47" s="14"/>
      <c r="G47" s="14"/>
      <c r="H47" s="28"/>
      <c r="I47" s="28"/>
      <c r="J47" s="16">
        <f t="shared" si="7"/>
        <v>256500</v>
      </c>
    </row>
    <row r="48" spans="1:10" ht="15" hidden="1" x14ac:dyDescent="0.25">
      <c r="A48" s="31" t="s">
        <v>70</v>
      </c>
      <c r="B48" s="102"/>
      <c r="C48" s="102"/>
      <c r="D48" s="102"/>
      <c r="E48" s="16">
        <f t="shared" si="6"/>
        <v>0</v>
      </c>
      <c r="F48" s="14"/>
      <c r="G48" s="14"/>
      <c r="H48" s="28"/>
      <c r="I48" s="28"/>
      <c r="J48" s="16">
        <f t="shared" si="7"/>
        <v>0</v>
      </c>
    </row>
    <row r="49" spans="1:10" ht="15" hidden="1" x14ac:dyDescent="0.25">
      <c r="A49" s="31" t="s">
        <v>71</v>
      </c>
      <c r="B49" s="102"/>
      <c r="C49" s="102"/>
      <c r="D49" s="102"/>
      <c r="E49" s="16">
        <f t="shared" si="6"/>
        <v>0</v>
      </c>
      <c r="F49" s="14"/>
      <c r="G49" s="14"/>
      <c r="H49" s="28"/>
      <c r="I49" s="28"/>
      <c r="J49" s="16">
        <f t="shared" si="7"/>
        <v>0</v>
      </c>
    </row>
    <row r="50" spans="1:10" ht="15" x14ac:dyDescent="0.25">
      <c r="A50" s="31" t="s">
        <v>72</v>
      </c>
      <c r="B50" s="102"/>
      <c r="C50" s="102">
        <v>300000</v>
      </c>
      <c r="D50" s="102"/>
      <c r="E50" s="16">
        <f t="shared" si="6"/>
        <v>300000</v>
      </c>
      <c r="F50" s="14"/>
      <c r="G50" s="14"/>
      <c r="H50" s="28"/>
      <c r="I50" s="28"/>
      <c r="J50" s="16">
        <f t="shared" si="7"/>
        <v>300000</v>
      </c>
    </row>
    <row r="51" spans="1:10" ht="15" hidden="1" x14ac:dyDescent="0.25">
      <c r="A51" s="31" t="s">
        <v>107</v>
      </c>
      <c r="B51" s="102"/>
      <c r="C51" s="102"/>
      <c r="D51" s="102"/>
      <c r="E51" s="16">
        <f t="shared" si="6"/>
        <v>0</v>
      </c>
      <c r="F51" s="14"/>
      <c r="G51" s="14"/>
      <c r="H51" s="28"/>
      <c r="I51" s="28"/>
      <c r="J51" s="16">
        <f t="shared" si="7"/>
        <v>0</v>
      </c>
    </row>
    <row r="52" spans="1:10" ht="15" hidden="1" x14ac:dyDescent="0.25">
      <c r="A52" s="31" t="s">
        <v>73</v>
      </c>
      <c r="B52" s="102"/>
      <c r="C52" s="102"/>
      <c r="D52" s="102"/>
      <c r="E52" s="16">
        <f t="shared" si="6"/>
        <v>0</v>
      </c>
      <c r="F52" s="14"/>
      <c r="G52" s="14"/>
      <c r="H52" s="28"/>
      <c r="I52" s="28"/>
      <c r="J52" s="16">
        <f t="shared" si="7"/>
        <v>0</v>
      </c>
    </row>
    <row r="53" spans="1:10" ht="15" x14ac:dyDescent="0.25">
      <c r="A53" s="31" t="s">
        <v>74</v>
      </c>
      <c r="B53" s="102"/>
      <c r="C53" s="102"/>
      <c r="D53" s="102">
        <v>559186</v>
      </c>
      <c r="E53" s="16">
        <f t="shared" si="6"/>
        <v>559186</v>
      </c>
      <c r="F53" s="14"/>
      <c r="G53" s="14"/>
      <c r="H53" s="28"/>
      <c r="I53" s="28"/>
      <c r="J53" s="16">
        <f t="shared" si="7"/>
        <v>559186</v>
      </c>
    </row>
    <row r="54" spans="1:10" ht="15" x14ac:dyDescent="0.25">
      <c r="A54" s="31" t="s">
        <v>75</v>
      </c>
      <c r="B54" s="102"/>
      <c r="C54" s="102">
        <v>155300</v>
      </c>
      <c r="D54" s="102"/>
      <c r="E54" s="16">
        <f t="shared" si="6"/>
        <v>155300</v>
      </c>
      <c r="F54" s="14"/>
      <c r="G54" s="14"/>
      <c r="H54" s="28"/>
      <c r="I54" s="28"/>
      <c r="J54" s="16">
        <f t="shared" si="7"/>
        <v>155300</v>
      </c>
    </row>
    <row r="55" spans="1:10" ht="15" x14ac:dyDescent="0.25">
      <c r="A55" s="31" t="s">
        <v>76</v>
      </c>
      <c r="B55" s="102"/>
      <c r="C55" s="102">
        <v>15000</v>
      </c>
      <c r="D55" s="102"/>
      <c r="E55" s="16">
        <f t="shared" si="6"/>
        <v>15000</v>
      </c>
      <c r="F55" s="14"/>
      <c r="G55" s="14"/>
      <c r="H55" s="28"/>
      <c r="I55" s="28"/>
      <c r="J55" s="16">
        <f t="shared" si="7"/>
        <v>15000</v>
      </c>
    </row>
    <row r="56" spans="1:10" ht="15" hidden="1" x14ac:dyDescent="0.25">
      <c r="A56" s="31" t="s">
        <v>106</v>
      </c>
      <c r="B56" s="102"/>
      <c r="C56" s="102"/>
      <c r="D56" s="102"/>
      <c r="E56" s="16">
        <f t="shared" si="6"/>
        <v>0</v>
      </c>
      <c r="F56" s="14"/>
      <c r="G56" s="14"/>
      <c r="H56" s="28"/>
      <c r="I56" s="28"/>
      <c r="J56" s="16">
        <f t="shared" si="7"/>
        <v>0</v>
      </c>
    </row>
    <row r="57" spans="1:10" ht="15" hidden="1" x14ac:dyDescent="0.25">
      <c r="A57" s="31" t="s">
        <v>105</v>
      </c>
      <c r="B57" s="102"/>
      <c r="C57" s="102"/>
      <c r="D57" s="102"/>
      <c r="E57" s="16">
        <f t="shared" si="6"/>
        <v>0</v>
      </c>
      <c r="F57" s="14"/>
      <c r="G57" s="14"/>
      <c r="H57" s="28"/>
      <c r="I57" s="28"/>
      <c r="J57" s="16">
        <f t="shared" si="7"/>
        <v>0</v>
      </c>
    </row>
    <row r="58" spans="1:10" ht="15" hidden="1" x14ac:dyDescent="0.25">
      <c r="A58" s="31" t="s">
        <v>77</v>
      </c>
      <c r="B58" s="102"/>
      <c r="C58" s="102"/>
      <c r="D58" s="102"/>
      <c r="E58" s="16">
        <f t="shared" si="6"/>
        <v>0</v>
      </c>
      <c r="F58" s="14"/>
      <c r="G58" s="14"/>
      <c r="H58" s="28"/>
      <c r="I58" s="28"/>
      <c r="J58" s="16">
        <f t="shared" si="7"/>
        <v>0</v>
      </c>
    </row>
    <row r="59" spans="1:10" ht="15" hidden="1" x14ac:dyDescent="0.25">
      <c r="A59" s="31" t="s">
        <v>215</v>
      </c>
      <c r="B59" s="102"/>
      <c r="C59" s="102"/>
      <c r="D59" s="102"/>
      <c r="E59" s="16">
        <f t="shared" si="6"/>
        <v>0</v>
      </c>
      <c r="F59" s="14"/>
      <c r="G59" s="14"/>
      <c r="H59" s="28"/>
      <c r="I59" s="28"/>
      <c r="J59" s="16">
        <f t="shared" si="7"/>
        <v>0</v>
      </c>
    </row>
    <row r="60" spans="1:10" ht="15" hidden="1" x14ac:dyDescent="0.25">
      <c r="A60" s="31" t="s">
        <v>216</v>
      </c>
      <c r="B60" s="102"/>
      <c r="C60" s="102"/>
      <c r="D60" s="102"/>
      <c r="E60" s="16">
        <f t="shared" si="6"/>
        <v>0</v>
      </c>
      <c r="F60" s="14"/>
      <c r="G60" s="14"/>
      <c r="H60" s="28"/>
      <c r="I60" s="28"/>
      <c r="J60" s="16">
        <f t="shared" si="7"/>
        <v>0</v>
      </c>
    </row>
    <row r="61" spans="1:10" ht="15" hidden="1" x14ac:dyDescent="0.25">
      <c r="A61" s="31" t="s">
        <v>245</v>
      </c>
      <c r="B61" s="102"/>
      <c r="C61" s="102"/>
      <c r="D61" s="102"/>
      <c r="E61" s="16">
        <f t="shared" si="6"/>
        <v>0</v>
      </c>
      <c r="F61" s="14"/>
      <c r="G61" s="14"/>
      <c r="H61" s="28"/>
      <c r="I61" s="28"/>
      <c r="J61" s="16">
        <f t="shared" si="7"/>
        <v>0</v>
      </c>
    </row>
    <row r="62" spans="1:10" ht="15" x14ac:dyDescent="0.25">
      <c r="A62" s="31" t="s">
        <v>217</v>
      </c>
      <c r="B62" s="102"/>
      <c r="C62" s="102">
        <v>662000</v>
      </c>
      <c r="D62" s="102"/>
      <c r="E62" s="16">
        <f t="shared" si="6"/>
        <v>662000</v>
      </c>
      <c r="F62" s="14"/>
      <c r="G62" s="14"/>
      <c r="H62" s="28"/>
      <c r="I62" s="28"/>
      <c r="J62" s="16">
        <f t="shared" si="7"/>
        <v>662000</v>
      </c>
    </row>
    <row r="63" spans="1:10" ht="15" hidden="1" x14ac:dyDescent="0.25">
      <c r="A63" s="31" t="s">
        <v>218</v>
      </c>
      <c r="B63" s="102"/>
      <c r="C63" s="102"/>
      <c r="D63" s="102"/>
      <c r="E63" s="16">
        <f t="shared" si="6"/>
        <v>0</v>
      </c>
      <c r="F63" s="14"/>
      <c r="G63" s="14"/>
      <c r="H63" s="28"/>
      <c r="I63" s="28"/>
      <c r="J63" s="16">
        <f t="shared" si="7"/>
        <v>0</v>
      </c>
    </row>
    <row r="64" spans="1:10" ht="15" x14ac:dyDescent="0.25">
      <c r="A64" s="31" t="s">
        <v>219</v>
      </c>
      <c r="B64" s="102"/>
      <c r="C64" s="102">
        <v>18200</v>
      </c>
      <c r="D64" s="102"/>
      <c r="E64" s="16">
        <f t="shared" si="6"/>
        <v>18200</v>
      </c>
      <c r="F64" s="14"/>
      <c r="G64" s="14"/>
      <c r="H64" s="28"/>
      <c r="I64" s="28"/>
      <c r="J64" s="16">
        <f t="shared" si="7"/>
        <v>18200</v>
      </c>
    </row>
    <row r="65" spans="1:11" ht="15" x14ac:dyDescent="0.25">
      <c r="A65" s="31" t="s">
        <v>221</v>
      </c>
      <c r="B65" s="102">
        <v>66780</v>
      </c>
      <c r="C65" s="102">
        <v>215000</v>
      </c>
      <c r="D65" s="102"/>
      <c r="E65" s="16">
        <f t="shared" si="6"/>
        <v>281780</v>
      </c>
      <c r="F65" s="14"/>
      <c r="G65" s="14"/>
      <c r="H65" s="28"/>
      <c r="I65" s="28"/>
      <c r="J65" s="16">
        <f t="shared" si="7"/>
        <v>281780</v>
      </c>
    </row>
    <row r="66" spans="1:11" ht="15" x14ac:dyDescent="0.25">
      <c r="A66" s="31" t="s">
        <v>222</v>
      </c>
      <c r="B66" s="102"/>
      <c r="C66" s="102">
        <v>50000</v>
      </c>
      <c r="D66" s="102"/>
      <c r="E66" s="16">
        <f t="shared" si="6"/>
        <v>50000</v>
      </c>
      <c r="F66" s="14"/>
      <c r="G66" s="14"/>
      <c r="H66" s="28"/>
      <c r="I66" s="28"/>
      <c r="J66" s="16">
        <f t="shared" si="7"/>
        <v>50000</v>
      </c>
    </row>
    <row r="67" spans="1:11" ht="15" hidden="1" x14ac:dyDescent="0.25">
      <c r="A67" s="31" t="s">
        <v>223</v>
      </c>
      <c r="B67" s="102"/>
      <c r="C67" s="102"/>
      <c r="D67" s="102"/>
      <c r="E67" s="16">
        <f t="shared" si="6"/>
        <v>0</v>
      </c>
      <c r="F67" s="14"/>
      <c r="G67" s="14"/>
      <c r="H67" s="28"/>
      <c r="I67" s="28"/>
      <c r="J67" s="16">
        <f t="shared" si="7"/>
        <v>0</v>
      </c>
    </row>
    <row r="68" spans="1:11" ht="15" hidden="1" x14ac:dyDescent="0.25">
      <c r="A68" s="31" t="s">
        <v>220</v>
      </c>
      <c r="B68" s="102"/>
      <c r="C68" s="102"/>
      <c r="D68" s="102"/>
      <c r="E68" s="16">
        <f t="shared" si="6"/>
        <v>0</v>
      </c>
      <c r="F68" s="14"/>
      <c r="G68" s="14"/>
      <c r="H68" s="28"/>
      <c r="I68" s="28"/>
      <c r="J68" s="16">
        <f t="shared" si="7"/>
        <v>0</v>
      </c>
    </row>
    <row r="69" spans="1:11" ht="15" x14ac:dyDescent="0.25">
      <c r="A69" s="31" t="s">
        <v>224</v>
      </c>
      <c r="B69" s="102"/>
      <c r="C69" s="102">
        <v>42000</v>
      </c>
      <c r="D69" s="102"/>
      <c r="E69" s="16">
        <f t="shared" si="6"/>
        <v>42000</v>
      </c>
      <c r="F69" s="14"/>
      <c r="G69" s="14"/>
      <c r="H69" s="28"/>
      <c r="I69" s="28"/>
      <c r="J69" s="16">
        <f t="shared" si="7"/>
        <v>42000</v>
      </c>
    </row>
    <row r="70" spans="1:11" ht="15" hidden="1" x14ac:dyDescent="0.25">
      <c r="A70" s="31" t="s">
        <v>225</v>
      </c>
      <c r="B70" s="102"/>
      <c r="C70" s="102"/>
      <c r="D70" s="102"/>
      <c r="E70" s="16">
        <f t="shared" si="6"/>
        <v>0</v>
      </c>
      <c r="F70" s="14"/>
      <c r="G70" s="14"/>
      <c r="H70" s="28"/>
      <c r="I70" s="28"/>
      <c r="J70" s="16">
        <f t="shared" si="7"/>
        <v>0</v>
      </c>
    </row>
    <row r="71" spans="1:11" ht="15" x14ac:dyDescent="0.25">
      <c r="A71" s="31" t="s">
        <v>242</v>
      </c>
      <c r="B71" s="102"/>
      <c r="C71" s="102">
        <v>250000</v>
      </c>
      <c r="D71" s="102"/>
      <c r="E71" s="16">
        <f t="shared" si="6"/>
        <v>250000</v>
      </c>
      <c r="F71" s="14"/>
      <c r="G71" s="14"/>
      <c r="H71" s="28"/>
      <c r="I71" s="28"/>
      <c r="J71" s="16">
        <f t="shared" si="7"/>
        <v>250000</v>
      </c>
    </row>
    <row r="72" spans="1:11" ht="14.25" x14ac:dyDescent="0.2">
      <c r="A72" s="94" t="s">
        <v>243</v>
      </c>
      <c r="B72" s="103"/>
      <c r="C72" s="103"/>
      <c r="D72" s="103"/>
      <c r="E72" s="89">
        <f t="shared" si="6"/>
        <v>0</v>
      </c>
      <c r="F72" s="89">
        <v>1415000</v>
      </c>
      <c r="G72" s="89">
        <v>-922000</v>
      </c>
      <c r="H72" s="90">
        <v>337000</v>
      </c>
      <c r="I72" s="90">
        <v>2148000</v>
      </c>
      <c r="J72" s="16">
        <f t="shared" si="7"/>
        <v>2978000</v>
      </c>
    </row>
    <row r="73" spans="1:11" ht="15" x14ac:dyDescent="0.25">
      <c r="A73" s="17" t="s">
        <v>32</v>
      </c>
      <c r="B73" s="104">
        <f>SUM(B39:B72)</f>
        <v>314780</v>
      </c>
      <c r="C73" s="104">
        <f t="shared" ref="C73" si="8">SUM(C39:C72)</f>
        <v>2183000</v>
      </c>
      <c r="D73" s="104">
        <f t="shared" ref="D73" si="9">SUM(D39:D72)</f>
        <v>651595</v>
      </c>
      <c r="E73" s="28">
        <f t="shared" ref="E73" si="10">SUM(E39:E72)</f>
        <v>3149375</v>
      </c>
      <c r="F73" s="28">
        <f t="shared" ref="F73:J73" si="11">SUM(F39:F72)</f>
        <v>1415000</v>
      </c>
      <c r="G73" s="28">
        <f t="shared" si="11"/>
        <v>-922000</v>
      </c>
      <c r="H73" s="28">
        <f t="shared" si="11"/>
        <v>337000</v>
      </c>
      <c r="I73" s="28">
        <f t="shared" si="11"/>
        <v>2148000</v>
      </c>
      <c r="J73" s="28">
        <f t="shared" si="11"/>
        <v>6127375</v>
      </c>
    </row>
    <row r="74" spans="1:11" ht="15" x14ac:dyDescent="0.25">
      <c r="A74" s="17"/>
      <c r="B74" s="101"/>
      <c r="C74" s="101"/>
      <c r="D74" s="101"/>
      <c r="E74" s="14"/>
      <c r="F74" s="14"/>
      <c r="G74" s="14"/>
      <c r="H74" s="28"/>
      <c r="I74" s="28"/>
      <c r="J74" s="14"/>
    </row>
    <row r="75" spans="1:11" ht="15" x14ac:dyDescent="0.25">
      <c r="A75" s="17" t="s">
        <v>60</v>
      </c>
      <c r="B75" s="101"/>
      <c r="C75" s="101"/>
      <c r="D75" s="101"/>
      <c r="E75" s="14"/>
      <c r="F75" s="14"/>
      <c r="G75" s="14"/>
      <c r="H75" s="28"/>
      <c r="I75" s="28"/>
      <c r="J75" s="14"/>
    </row>
    <row r="76" spans="1:11" ht="15" hidden="1" x14ac:dyDescent="0.25">
      <c r="A76" s="22" t="s">
        <v>61</v>
      </c>
      <c r="B76" s="102"/>
      <c r="C76" s="102"/>
      <c r="D76" s="102"/>
      <c r="E76" s="16"/>
      <c r="F76" s="16"/>
      <c r="G76" s="16"/>
      <c r="H76" s="16"/>
      <c r="I76" s="14"/>
      <c r="J76" s="16">
        <f t="shared" si="5"/>
        <v>0</v>
      </c>
    </row>
    <row r="77" spans="1:11" ht="14.25" x14ac:dyDescent="0.2">
      <c r="A77" s="97" t="s">
        <v>62</v>
      </c>
      <c r="B77" s="102">
        <v>15000</v>
      </c>
      <c r="C77" s="102">
        <v>146300</v>
      </c>
      <c r="D77" s="102"/>
      <c r="E77" s="16">
        <f>SUM(B77:D77)</f>
        <v>161300</v>
      </c>
      <c r="F77" s="16">
        <v>3900000</v>
      </c>
      <c r="G77" s="16">
        <v>3900000</v>
      </c>
      <c r="H77" s="27">
        <v>3800000</v>
      </c>
      <c r="I77" s="27">
        <v>1300000</v>
      </c>
      <c r="J77" s="16">
        <f>SUM(E77:I77)</f>
        <v>13061300</v>
      </c>
      <c r="K77" s="21"/>
    </row>
    <row r="78" spans="1:11" ht="15" hidden="1" x14ac:dyDescent="0.25">
      <c r="A78" s="22" t="s">
        <v>63</v>
      </c>
      <c r="B78" s="101"/>
      <c r="C78" s="101"/>
      <c r="D78" s="101"/>
      <c r="E78" s="14"/>
      <c r="F78" s="14"/>
      <c r="G78" s="14"/>
      <c r="H78" s="14"/>
      <c r="I78" s="14"/>
      <c r="J78" s="16">
        <f t="shared" si="5"/>
        <v>0</v>
      </c>
      <c r="K78" s="21"/>
    </row>
    <row r="79" spans="1:11" ht="15" hidden="1" x14ac:dyDescent="0.25">
      <c r="A79" s="22" t="s">
        <v>64</v>
      </c>
      <c r="B79" s="101"/>
      <c r="C79" s="101"/>
      <c r="D79" s="101"/>
      <c r="E79" s="14"/>
      <c r="F79" s="14"/>
      <c r="G79" s="14"/>
      <c r="H79" s="14"/>
      <c r="I79" s="14"/>
      <c r="J79" s="16">
        <f t="shared" si="5"/>
        <v>0</v>
      </c>
      <c r="K79" s="21"/>
    </row>
    <row r="80" spans="1:11" ht="15" hidden="1" x14ac:dyDescent="0.25">
      <c r="A80" s="15" t="s">
        <v>65</v>
      </c>
      <c r="B80" s="101"/>
      <c r="C80" s="101"/>
      <c r="D80" s="101"/>
      <c r="E80" s="14"/>
      <c r="F80" s="14"/>
      <c r="G80" s="14"/>
      <c r="H80" s="28"/>
      <c r="I80" s="28"/>
      <c r="J80" s="16">
        <f t="shared" si="5"/>
        <v>0</v>
      </c>
    </row>
    <row r="81" spans="1:10" ht="15" hidden="1" x14ac:dyDescent="0.25">
      <c r="A81" s="15" t="s">
        <v>104</v>
      </c>
      <c r="B81" s="101"/>
      <c r="C81" s="101"/>
      <c r="D81" s="101"/>
      <c r="E81" s="14"/>
      <c r="F81" s="14"/>
      <c r="G81" s="14"/>
      <c r="H81" s="28"/>
      <c r="I81" s="28"/>
      <c r="J81" s="16">
        <f t="shared" si="5"/>
        <v>0</v>
      </c>
    </row>
    <row r="82" spans="1:10" ht="15" x14ac:dyDescent="0.25">
      <c r="A82" s="17" t="s">
        <v>32</v>
      </c>
      <c r="B82" s="104">
        <f t="shared" ref="B82:J82" si="12">SUM(B76:B81)</f>
        <v>15000</v>
      </c>
      <c r="C82" s="104">
        <f t="shared" si="12"/>
        <v>146300</v>
      </c>
      <c r="D82" s="104">
        <f t="shared" si="12"/>
        <v>0</v>
      </c>
      <c r="E82" s="28">
        <f t="shared" si="12"/>
        <v>161300</v>
      </c>
      <c r="F82" s="28">
        <f t="shared" si="12"/>
        <v>3900000</v>
      </c>
      <c r="G82" s="28">
        <f t="shared" si="12"/>
        <v>3900000</v>
      </c>
      <c r="H82" s="28">
        <f t="shared" si="12"/>
        <v>3800000</v>
      </c>
      <c r="I82" s="28">
        <f t="shared" si="12"/>
        <v>1300000</v>
      </c>
      <c r="J82" s="28">
        <f t="shared" si="12"/>
        <v>13061300</v>
      </c>
    </row>
    <row r="83" spans="1:10" ht="15" x14ac:dyDescent="0.25">
      <c r="A83" s="17"/>
      <c r="B83" s="101"/>
      <c r="C83" s="101"/>
      <c r="D83" s="101"/>
      <c r="E83" s="14"/>
      <c r="F83" s="14"/>
      <c r="G83" s="14"/>
      <c r="H83" s="28"/>
      <c r="I83" s="28"/>
      <c r="J83" s="14"/>
    </row>
    <row r="84" spans="1:10" ht="15" x14ac:dyDescent="0.25">
      <c r="A84" s="17" t="s">
        <v>33</v>
      </c>
      <c r="B84" s="101">
        <f>B12+B31+B36+B73+B82</f>
        <v>705780</v>
      </c>
      <c r="C84" s="101">
        <f t="shared" ref="C84:J84" si="13">C12+C31+C36+C73+C82</f>
        <v>5772500</v>
      </c>
      <c r="D84" s="101">
        <f t="shared" si="13"/>
        <v>587918.31999999995</v>
      </c>
      <c r="E84" s="14">
        <f t="shared" si="13"/>
        <v>7066198.3200000003</v>
      </c>
      <c r="F84" s="14">
        <f t="shared" si="13"/>
        <v>7900000</v>
      </c>
      <c r="G84" s="14">
        <f t="shared" si="13"/>
        <v>7900000</v>
      </c>
      <c r="H84" s="14">
        <f t="shared" si="13"/>
        <v>7800000</v>
      </c>
      <c r="I84" s="14">
        <f t="shared" si="13"/>
        <v>5300000</v>
      </c>
      <c r="J84" s="14">
        <f t="shared" si="13"/>
        <v>35966198.32</v>
      </c>
    </row>
    <row r="85" spans="1:10" ht="14.25" x14ac:dyDescent="0.2">
      <c r="A85" s="15"/>
      <c r="B85" s="102"/>
      <c r="C85" s="102"/>
      <c r="D85" s="102"/>
      <c r="E85" s="16"/>
      <c r="F85" s="16"/>
      <c r="G85" s="16"/>
      <c r="H85" s="16"/>
      <c r="I85" s="16"/>
      <c r="J85" s="16"/>
    </row>
    <row r="86" spans="1:10" ht="15" x14ac:dyDescent="0.25">
      <c r="A86" s="17" t="s">
        <v>34</v>
      </c>
      <c r="B86" s="102"/>
      <c r="C86" s="102"/>
      <c r="D86" s="102"/>
      <c r="E86" s="16"/>
      <c r="F86" s="16"/>
      <c r="G86" s="16"/>
      <c r="H86" s="27"/>
      <c r="I86" s="27"/>
      <c r="J86" s="16"/>
    </row>
    <row r="87" spans="1:10" ht="14.25" x14ac:dyDescent="0.2">
      <c r="A87" s="31" t="s">
        <v>98</v>
      </c>
      <c r="B87" s="102">
        <v>560274</v>
      </c>
      <c r="C87" s="102">
        <v>439726</v>
      </c>
      <c r="D87" s="102">
        <f>833598-B87</f>
        <v>273324</v>
      </c>
      <c r="E87" s="16">
        <f>SUM(B87:D87)</f>
        <v>1273324</v>
      </c>
      <c r="F87" s="16">
        <v>1000000</v>
      </c>
      <c r="G87" s="16">
        <v>1000000</v>
      </c>
      <c r="H87" s="27">
        <v>1000000</v>
      </c>
      <c r="I87" s="27">
        <v>1000000</v>
      </c>
      <c r="J87" s="16">
        <f t="shared" ref="J87:J119" si="14">SUM(E87:I87)</f>
        <v>5273324</v>
      </c>
    </row>
    <row r="88" spans="1:10" ht="14.25" x14ac:dyDescent="0.2">
      <c r="A88" s="31" t="s">
        <v>254</v>
      </c>
      <c r="B88" s="102"/>
      <c r="C88" s="102"/>
      <c r="D88" s="102">
        <v>21358</v>
      </c>
      <c r="E88" s="16">
        <f>SUM(B88:D88)</f>
        <v>21358</v>
      </c>
      <c r="F88" s="16"/>
      <c r="G88" s="16"/>
      <c r="H88" s="27"/>
      <c r="I88" s="27"/>
      <c r="J88" s="16">
        <f t="shared" si="14"/>
        <v>21358</v>
      </c>
    </row>
    <row r="89" spans="1:10" ht="14.25" x14ac:dyDescent="0.2">
      <c r="A89" s="31" t="s">
        <v>35</v>
      </c>
      <c r="B89" s="102">
        <v>5680568</v>
      </c>
      <c r="C89" s="102">
        <v>1469432</v>
      </c>
      <c r="D89" s="102">
        <f>6120665-B89</f>
        <v>440097</v>
      </c>
      <c r="E89" s="16">
        <f>SUM(B89:D89)</f>
        <v>7590097</v>
      </c>
      <c r="F89" s="16">
        <v>7000000</v>
      </c>
      <c r="G89" s="16">
        <v>1521000</v>
      </c>
      <c r="H89" s="27"/>
      <c r="I89" s="27"/>
      <c r="J89" s="16">
        <f t="shared" si="14"/>
        <v>16111097</v>
      </c>
    </row>
    <row r="90" spans="1:10" ht="14.25" x14ac:dyDescent="0.2">
      <c r="A90" s="31" t="s">
        <v>93</v>
      </c>
      <c r="B90" s="102">
        <v>2415855</v>
      </c>
      <c r="C90" s="102">
        <v>4184145</v>
      </c>
      <c r="D90" s="102">
        <f>3384061-B90</f>
        <v>968206</v>
      </c>
      <c r="E90" s="16">
        <f>SUM(B90:D90)</f>
        <v>7568206</v>
      </c>
      <c r="F90" s="16"/>
      <c r="G90" s="16"/>
      <c r="H90" s="27"/>
      <c r="I90" s="27"/>
      <c r="J90" s="16">
        <f t="shared" si="14"/>
        <v>7568206</v>
      </c>
    </row>
    <row r="91" spans="1:10" ht="14.25" x14ac:dyDescent="0.2">
      <c r="A91" s="31" t="s">
        <v>36</v>
      </c>
      <c r="B91" s="102"/>
      <c r="C91" s="102"/>
      <c r="D91" s="102"/>
      <c r="E91" s="16">
        <f t="shared" ref="E91:E119" si="15">SUM(B91:D91)</f>
        <v>0</v>
      </c>
      <c r="F91" s="16"/>
      <c r="G91" s="16"/>
      <c r="H91" s="27"/>
      <c r="I91" s="27"/>
      <c r="J91" s="16">
        <f t="shared" si="14"/>
        <v>0</v>
      </c>
    </row>
    <row r="92" spans="1:10" ht="14.25" x14ac:dyDescent="0.2">
      <c r="A92" s="95" t="s">
        <v>101</v>
      </c>
      <c r="B92" s="102"/>
      <c r="C92" s="102"/>
      <c r="D92" s="102"/>
      <c r="E92" s="16">
        <f t="shared" si="15"/>
        <v>0</v>
      </c>
      <c r="F92" s="16">
        <v>1532000</v>
      </c>
      <c r="G92" s="16">
        <v>1949940</v>
      </c>
      <c r="H92" s="27"/>
      <c r="I92" s="27"/>
      <c r="J92" s="16">
        <f t="shared" si="14"/>
        <v>3481940</v>
      </c>
    </row>
    <row r="93" spans="1:10" ht="14.25" x14ac:dyDescent="0.2">
      <c r="A93" s="95" t="s">
        <v>78</v>
      </c>
      <c r="B93" s="102"/>
      <c r="C93" s="102">
        <v>825290</v>
      </c>
      <c r="D93" s="102"/>
      <c r="E93" s="16">
        <f t="shared" si="15"/>
        <v>825290</v>
      </c>
      <c r="F93" s="16">
        <v>1050700</v>
      </c>
      <c r="G93" s="16"/>
      <c r="H93" s="27"/>
      <c r="I93" s="27"/>
      <c r="J93" s="16">
        <f t="shared" si="14"/>
        <v>1875990</v>
      </c>
    </row>
    <row r="94" spans="1:10" ht="14.25" x14ac:dyDescent="0.2">
      <c r="A94" s="95" t="s">
        <v>79</v>
      </c>
      <c r="B94" s="102"/>
      <c r="C94" s="102"/>
      <c r="D94" s="102"/>
      <c r="E94" s="16">
        <f t="shared" si="15"/>
        <v>0</v>
      </c>
      <c r="F94" s="16"/>
      <c r="G94" s="16">
        <v>688571</v>
      </c>
      <c r="H94" s="27">
        <v>876364</v>
      </c>
      <c r="I94" s="27"/>
      <c r="J94" s="16">
        <f t="shared" si="14"/>
        <v>1564935</v>
      </c>
    </row>
    <row r="95" spans="1:10" ht="14.25" x14ac:dyDescent="0.2">
      <c r="A95" s="95" t="s">
        <v>80</v>
      </c>
      <c r="B95" s="102"/>
      <c r="C95" s="102"/>
      <c r="D95" s="102"/>
      <c r="E95" s="16">
        <f t="shared" si="15"/>
        <v>0</v>
      </c>
      <c r="F95" s="16"/>
      <c r="G95" s="16">
        <v>1203898</v>
      </c>
      <c r="H95" s="27">
        <v>1532235</v>
      </c>
      <c r="I95" s="27"/>
      <c r="J95" s="16">
        <f t="shared" si="14"/>
        <v>2736133</v>
      </c>
    </row>
    <row r="96" spans="1:10" ht="14.25" x14ac:dyDescent="0.2">
      <c r="A96" s="31" t="s">
        <v>37</v>
      </c>
      <c r="B96" s="102"/>
      <c r="C96" s="102"/>
      <c r="D96" s="102"/>
      <c r="E96" s="16">
        <f t="shared" si="15"/>
        <v>0</v>
      </c>
      <c r="F96" s="16"/>
      <c r="G96" s="16"/>
      <c r="H96" s="27"/>
      <c r="I96" s="27"/>
      <c r="J96" s="16">
        <f t="shared" si="14"/>
        <v>0</v>
      </c>
    </row>
    <row r="97" spans="1:10" ht="14.25" x14ac:dyDescent="0.2">
      <c r="A97" s="95" t="s">
        <v>102</v>
      </c>
      <c r="B97" s="102">
        <v>1100000</v>
      </c>
      <c r="C97" s="102">
        <v>0</v>
      </c>
      <c r="D97" s="102">
        <f>1147443-B97</f>
        <v>47443</v>
      </c>
      <c r="E97" s="16">
        <f>SUM(B97:D97)</f>
        <v>1147443</v>
      </c>
      <c r="F97" s="16"/>
      <c r="G97" s="16"/>
      <c r="H97" s="27"/>
      <c r="I97" s="27"/>
      <c r="J97" s="16">
        <f t="shared" si="14"/>
        <v>1147443</v>
      </c>
    </row>
    <row r="98" spans="1:10" ht="14.25" x14ac:dyDescent="0.2">
      <c r="A98" s="95" t="s">
        <v>81</v>
      </c>
      <c r="B98" s="102"/>
      <c r="C98" s="102">
        <v>200000</v>
      </c>
      <c r="D98" s="102">
        <v>50000</v>
      </c>
      <c r="E98" s="16">
        <f>SUM(B98:D98)</f>
        <v>250000</v>
      </c>
      <c r="F98" s="16">
        <v>700000</v>
      </c>
      <c r="G98" s="16">
        <v>700000</v>
      </c>
      <c r="H98" s="27"/>
      <c r="I98" s="27"/>
      <c r="J98" s="16">
        <f t="shared" si="14"/>
        <v>1650000</v>
      </c>
    </row>
    <row r="99" spans="1:10" ht="14.25" x14ac:dyDescent="0.2">
      <c r="A99" s="95" t="s">
        <v>82</v>
      </c>
      <c r="B99" s="102"/>
      <c r="C99" s="102"/>
      <c r="D99" s="102"/>
      <c r="E99" s="16">
        <f t="shared" si="15"/>
        <v>0</v>
      </c>
      <c r="F99" s="16">
        <v>1350000</v>
      </c>
      <c r="G99" s="16">
        <v>1350000</v>
      </c>
      <c r="H99" s="27">
        <v>1300000</v>
      </c>
      <c r="I99" s="27"/>
      <c r="J99" s="16">
        <f t="shared" si="14"/>
        <v>4000000</v>
      </c>
    </row>
    <row r="100" spans="1:10" ht="14.25" x14ac:dyDescent="0.2">
      <c r="A100" s="95" t="s">
        <v>83</v>
      </c>
      <c r="B100" s="102"/>
      <c r="C100" s="102">
        <v>200000</v>
      </c>
      <c r="D100" s="102"/>
      <c r="E100" s="16">
        <f t="shared" si="15"/>
        <v>200000</v>
      </c>
      <c r="F100" s="16">
        <v>2900000</v>
      </c>
      <c r="G100" s="16">
        <v>2900000</v>
      </c>
      <c r="H100" s="27"/>
      <c r="I100" s="27"/>
      <c r="J100" s="16">
        <f t="shared" si="14"/>
        <v>6000000</v>
      </c>
    </row>
    <row r="101" spans="1:10" ht="14.25" x14ac:dyDescent="0.2">
      <c r="A101" s="95" t="s">
        <v>84</v>
      </c>
      <c r="B101" s="102"/>
      <c r="C101" s="102">
        <v>351000</v>
      </c>
      <c r="D101" s="102"/>
      <c r="E101" s="16">
        <f t="shared" si="15"/>
        <v>351000</v>
      </c>
      <c r="F101" s="16">
        <v>3668600</v>
      </c>
      <c r="G101" s="16">
        <v>4573400</v>
      </c>
      <c r="H101" s="27"/>
      <c r="I101" s="27"/>
      <c r="J101" s="16">
        <f t="shared" si="14"/>
        <v>8593000</v>
      </c>
    </row>
    <row r="102" spans="1:10" ht="14.25" x14ac:dyDescent="0.2">
      <c r="A102" s="95" t="s">
        <v>85</v>
      </c>
      <c r="B102" s="102"/>
      <c r="C102" s="102"/>
      <c r="D102" s="102"/>
      <c r="E102" s="16">
        <f t="shared" si="15"/>
        <v>0</v>
      </c>
      <c r="F102" s="16">
        <v>703000</v>
      </c>
      <c r="G102" s="16">
        <v>7215000</v>
      </c>
      <c r="H102" s="27">
        <v>8991000</v>
      </c>
      <c r="I102" s="27"/>
      <c r="J102" s="16">
        <f t="shared" si="14"/>
        <v>16909000</v>
      </c>
    </row>
    <row r="103" spans="1:10" ht="14.25" x14ac:dyDescent="0.2">
      <c r="A103" s="95" t="s">
        <v>86</v>
      </c>
      <c r="B103" s="102"/>
      <c r="C103" s="102"/>
      <c r="D103" s="102"/>
      <c r="E103" s="16">
        <f t="shared" si="15"/>
        <v>0</v>
      </c>
      <c r="F103" s="16"/>
      <c r="G103" s="16"/>
      <c r="H103" s="27">
        <v>320166</v>
      </c>
      <c r="I103" s="27"/>
      <c r="J103" s="16">
        <f t="shared" si="14"/>
        <v>320166</v>
      </c>
    </row>
    <row r="104" spans="1:10" ht="14.25" x14ac:dyDescent="0.2">
      <c r="A104" s="95" t="s">
        <v>87</v>
      </c>
      <c r="B104" s="102"/>
      <c r="C104" s="102"/>
      <c r="D104" s="102"/>
      <c r="E104" s="16">
        <f t="shared" si="15"/>
        <v>0</v>
      </c>
      <c r="F104" s="16">
        <v>253700</v>
      </c>
      <c r="G104" s="16">
        <v>2646420</v>
      </c>
      <c r="H104" s="27">
        <v>3298980</v>
      </c>
      <c r="I104" s="27"/>
      <c r="J104" s="16">
        <f t="shared" si="14"/>
        <v>6199100</v>
      </c>
    </row>
    <row r="105" spans="1:10" ht="28.5" x14ac:dyDescent="0.2">
      <c r="A105" s="96" t="s">
        <v>94</v>
      </c>
      <c r="B105" s="102"/>
      <c r="C105" s="102"/>
      <c r="D105" s="102"/>
      <c r="E105" s="16">
        <f t="shared" si="15"/>
        <v>0</v>
      </c>
      <c r="F105" s="16"/>
      <c r="G105" s="16"/>
      <c r="H105" s="27"/>
      <c r="I105" s="27">
        <v>3000000</v>
      </c>
      <c r="J105" s="16">
        <f t="shared" si="14"/>
        <v>3000000</v>
      </c>
    </row>
    <row r="106" spans="1:10" ht="14.25" x14ac:dyDescent="0.2">
      <c r="A106" s="31" t="s">
        <v>38</v>
      </c>
      <c r="B106" s="102"/>
      <c r="C106" s="102">
        <v>50000</v>
      </c>
      <c r="D106" s="102"/>
      <c r="E106" s="16">
        <f t="shared" si="15"/>
        <v>50000</v>
      </c>
      <c r="F106" s="16"/>
      <c r="G106" s="16"/>
      <c r="H106" s="27"/>
      <c r="I106" s="27"/>
      <c r="J106" s="16">
        <f t="shared" si="14"/>
        <v>50000</v>
      </c>
    </row>
    <row r="107" spans="1:10" ht="14.25" x14ac:dyDescent="0.2">
      <c r="A107" s="31" t="s">
        <v>39</v>
      </c>
      <c r="B107" s="102"/>
      <c r="C107" s="102"/>
      <c r="D107" s="102"/>
      <c r="E107" s="16">
        <f t="shared" si="15"/>
        <v>0</v>
      </c>
      <c r="F107" s="16"/>
      <c r="G107" s="16"/>
      <c r="H107" s="27">
        <v>1210000</v>
      </c>
      <c r="I107" s="27">
        <v>1540000</v>
      </c>
      <c r="J107" s="16">
        <f t="shared" si="14"/>
        <v>2750000</v>
      </c>
    </row>
    <row r="108" spans="1:10" ht="14.25" x14ac:dyDescent="0.2">
      <c r="A108" s="31" t="s">
        <v>40</v>
      </c>
      <c r="B108" s="102"/>
      <c r="C108" s="102"/>
      <c r="D108" s="102"/>
      <c r="E108" s="16">
        <f t="shared" si="15"/>
        <v>0</v>
      </c>
      <c r="F108" s="16"/>
      <c r="G108" s="16"/>
      <c r="H108" s="27"/>
      <c r="I108" s="27"/>
      <c r="J108" s="16">
        <f t="shared" si="14"/>
        <v>0</v>
      </c>
    </row>
    <row r="109" spans="1:10" ht="14.25" x14ac:dyDescent="0.2">
      <c r="A109" s="31" t="s">
        <v>41</v>
      </c>
      <c r="B109" s="102">
        <v>19898</v>
      </c>
      <c r="C109" s="102"/>
      <c r="D109" s="102"/>
      <c r="E109" s="16">
        <f t="shared" si="15"/>
        <v>19898</v>
      </c>
      <c r="F109" s="16"/>
      <c r="G109" s="16"/>
      <c r="H109" s="27"/>
      <c r="I109" s="27"/>
      <c r="J109" s="16">
        <f t="shared" si="14"/>
        <v>19898</v>
      </c>
    </row>
    <row r="110" spans="1:10" ht="14.25" x14ac:dyDescent="0.2">
      <c r="A110" s="31" t="s">
        <v>42</v>
      </c>
      <c r="B110" s="102">
        <v>3282398</v>
      </c>
      <c r="C110" s="102"/>
      <c r="D110" s="102">
        <f>3225828-B110</f>
        <v>-56570</v>
      </c>
      <c r="E110" s="16">
        <f>SUM(B110:D110)</f>
        <v>3225828</v>
      </c>
      <c r="F110" s="16"/>
      <c r="G110" s="16"/>
      <c r="H110" s="27"/>
      <c r="I110" s="27"/>
      <c r="J110" s="16">
        <f t="shared" si="14"/>
        <v>3225828</v>
      </c>
    </row>
    <row r="111" spans="1:10" ht="14.25" x14ac:dyDescent="0.2">
      <c r="A111" s="31" t="s">
        <v>44</v>
      </c>
      <c r="B111" s="102"/>
      <c r="C111" s="102">
        <v>629000</v>
      </c>
      <c r="D111" s="102">
        <v>700000</v>
      </c>
      <c r="E111" s="16">
        <f>SUM(B111:D111)</f>
        <v>1329000</v>
      </c>
      <c r="F111" s="16">
        <v>4300000</v>
      </c>
      <c r="G111" s="16">
        <v>4800000</v>
      </c>
      <c r="H111" s="27">
        <v>5651000</v>
      </c>
      <c r="I111" s="27"/>
      <c r="J111" s="16">
        <f t="shared" si="14"/>
        <v>16080000</v>
      </c>
    </row>
    <row r="112" spans="1:10" ht="14.25" x14ac:dyDescent="0.2">
      <c r="A112" s="31" t="s">
        <v>45</v>
      </c>
      <c r="B112" s="102"/>
      <c r="C112" s="102">
        <v>300000</v>
      </c>
      <c r="D112" s="102"/>
      <c r="E112" s="16">
        <f t="shared" si="15"/>
        <v>300000</v>
      </c>
      <c r="F112" s="16"/>
      <c r="G112" s="16"/>
      <c r="H112" s="27"/>
      <c r="I112" s="27"/>
      <c r="J112" s="16">
        <f t="shared" si="14"/>
        <v>300000</v>
      </c>
    </row>
    <row r="113" spans="1:11" ht="14.25" x14ac:dyDescent="0.2">
      <c r="A113" s="31" t="s">
        <v>92</v>
      </c>
      <c r="B113" s="102"/>
      <c r="C113" s="102"/>
      <c r="D113" s="102"/>
      <c r="E113" s="16">
        <f t="shared" si="15"/>
        <v>0</v>
      </c>
      <c r="F113" s="16"/>
      <c r="G113" s="16"/>
      <c r="H113" s="27"/>
      <c r="I113" s="27">
        <v>8000000</v>
      </c>
      <c r="J113" s="16">
        <f t="shared" si="14"/>
        <v>8000000</v>
      </c>
    </row>
    <row r="114" spans="1:11" ht="14.25" x14ac:dyDescent="0.2">
      <c r="A114" s="31" t="s">
        <v>88</v>
      </c>
      <c r="B114" s="102">
        <v>4350485</v>
      </c>
      <c r="C114" s="102">
        <v>-4330485</v>
      </c>
      <c r="D114" s="102">
        <f>4836919-B114</f>
        <v>486434</v>
      </c>
      <c r="E114" s="16">
        <f>SUM(B114:D114)</f>
        <v>506434</v>
      </c>
      <c r="F114" s="16">
        <v>5742000</v>
      </c>
      <c r="G114" s="16">
        <v>5800000</v>
      </c>
      <c r="H114" s="27">
        <v>6582000</v>
      </c>
      <c r="I114" s="27"/>
      <c r="J114" s="16">
        <f t="shared" si="14"/>
        <v>18630434</v>
      </c>
    </row>
    <row r="115" spans="1:11" ht="14.25" x14ac:dyDescent="0.2">
      <c r="A115" s="31" t="s">
        <v>89</v>
      </c>
      <c r="B115" s="102">
        <v>1132645</v>
      </c>
      <c r="C115" s="102"/>
      <c r="D115" s="102">
        <f>1534322-B115</f>
        <v>401677</v>
      </c>
      <c r="E115" s="16">
        <f>SUM(B115:D115)</f>
        <v>1534322</v>
      </c>
      <c r="F115" s="16"/>
      <c r="G115" s="16"/>
      <c r="H115" s="27"/>
      <c r="I115" s="27"/>
      <c r="J115" s="16">
        <f t="shared" si="14"/>
        <v>1534322</v>
      </c>
    </row>
    <row r="116" spans="1:11" ht="14.25" x14ac:dyDescent="0.2">
      <c r="A116" s="31" t="s">
        <v>90</v>
      </c>
      <c r="B116" s="102"/>
      <c r="C116" s="102"/>
      <c r="D116" s="102"/>
      <c r="E116" s="16">
        <f t="shared" si="15"/>
        <v>0</v>
      </c>
      <c r="F116" s="16"/>
      <c r="G116" s="16"/>
      <c r="H116" s="27"/>
      <c r="I116" s="27">
        <v>2000000</v>
      </c>
      <c r="J116" s="16">
        <f t="shared" si="14"/>
        <v>2000000</v>
      </c>
    </row>
    <row r="117" spans="1:11" ht="14.25" hidden="1" x14ac:dyDescent="0.2">
      <c r="A117" s="31" t="s">
        <v>91</v>
      </c>
      <c r="B117" s="102"/>
      <c r="C117" s="102">
        <v>0</v>
      </c>
      <c r="D117" s="102"/>
      <c r="E117" s="16">
        <f t="shared" si="15"/>
        <v>0</v>
      </c>
      <c r="F117" s="16"/>
      <c r="G117" s="16"/>
      <c r="H117" s="27"/>
      <c r="I117" s="27"/>
      <c r="J117" s="16">
        <f t="shared" si="14"/>
        <v>0</v>
      </c>
    </row>
    <row r="118" spans="1:11" ht="14.25" x14ac:dyDescent="0.2">
      <c r="A118" s="31" t="s">
        <v>258</v>
      </c>
      <c r="B118" s="102"/>
      <c r="C118" s="102"/>
      <c r="D118" s="102">
        <v>153257.07999999999</v>
      </c>
      <c r="E118" s="16">
        <f t="shared" si="15"/>
        <v>153257.07999999999</v>
      </c>
      <c r="F118" s="16"/>
      <c r="G118" s="16"/>
      <c r="H118" s="27"/>
      <c r="I118" s="27"/>
      <c r="J118" s="16">
        <f t="shared" si="14"/>
        <v>153257.07999999999</v>
      </c>
    </row>
    <row r="119" spans="1:11" ht="14.25" x14ac:dyDescent="0.2">
      <c r="A119" s="31" t="s">
        <v>43</v>
      </c>
      <c r="B119" s="102"/>
      <c r="C119" s="102">
        <v>2422769</v>
      </c>
      <c r="D119" s="102"/>
      <c r="E119" s="16">
        <f t="shared" si="15"/>
        <v>2422769</v>
      </c>
      <c r="F119" s="16"/>
      <c r="G119" s="16"/>
      <c r="H119" s="27"/>
      <c r="I119" s="27"/>
      <c r="J119" s="16">
        <f t="shared" si="14"/>
        <v>2422769</v>
      </c>
    </row>
    <row r="120" spans="1:11" ht="14.25" x14ac:dyDescent="0.2">
      <c r="A120" s="15"/>
      <c r="B120" s="102"/>
      <c r="C120" s="102"/>
      <c r="D120" s="102"/>
      <c r="E120" s="16"/>
      <c r="F120" s="16"/>
      <c r="G120" s="16"/>
      <c r="H120" s="27"/>
      <c r="I120" s="27"/>
      <c r="J120" s="16"/>
    </row>
    <row r="121" spans="1:11" ht="15" x14ac:dyDescent="0.25">
      <c r="A121" s="17" t="s">
        <v>46</v>
      </c>
      <c r="B121" s="101">
        <f>SUM(B87:B120)</f>
        <v>18542123</v>
      </c>
      <c r="C121" s="101">
        <v>6740877</v>
      </c>
      <c r="D121" s="101">
        <f t="shared" ref="D121:J121" si="16">SUM(D87:D120)</f>
        <v>3485226.08</v>
      </c>
      <c r="E121" s="14">
        <f t="shared" si="16"/>
        <v>28768226.079999998</v>
      </c>
      <c r="F121" s="14">
        <f t="shared" si="16"/>
        <v>30200000</v>
      </c>
      <c r="G121" s="14">
        <f t="shared" si="16"/>
        <v>36348229</v>
      </c>
      <c r="H121" s="14">
        <f t="shared" si="16"/>
        <v>30761745</v>
      </c>
      <c r="I121" s="14">
        <f t="shared" si="16"/>
        <v>15540000</v>
      </c>
      <c r="J121" s="14">
        <f t="shared" si="16"/>
        <v>141618200.08000001</v>
      </c>
    </row>
    <row r="122" spans="1:11" ht="15" x14ac:dyDescent="0.25">
      <c r="A122" s="107"/>
      <c r="B122" s="101"/>
      <c r="C122" s="101"/>
      <c r="D122" s="101"/>
      <c r="E122" s="14"/>
      <c r="F122" s="14"/>
      <c r="G122" s="14"/>
      <c r="H122" s="27"/>
      <c r="I122" s="27"/>
      <c r="J122" s="14"/>
    </row>
    <row r="123" spans="1:11" ht="15" x14ac:dyDescent="0.25">
      <c r="A123" s="17" t="s">
        <v>47</v>
      </c>
      <c r="B123" s="101">
        <v>854838</v>
      </c>
      <c r="C123" s="101">
        <v>3500000</v>
      </c>
      <c r="D123" s="101">
        <f>1731315-854838</f>
        <v>876477</v>
      </c>
      <c r="E123" s="14">
        <f>SUM(B123:D123)</f>
        <v>5231315</v>
      </c>
      <c r="F123" s="14">
        <v>4000000</v>
      </c>
      <c r="G123" s="14">
        <v>4000000</v>
      </c>
      <c r="H123" s="14">
        <v>4000000</v>
      </c>
      <c r="I123" s="14">
        <v>4000000</v>
      </c>
      <c r="J123" s="14">
        <f>SUM(E123:I123)</f>
        <v>21231315</v>
      </c>
    </row>
    <row r="124" spans="1:11" ht="15" x14ac:dyDescent="0.25">
      <c r="A124" s="17"/>
      <c r="B124" s="102"/>
      <c r="C124" s="102"/>
      <c r="D124" s="102"/>
      <c r="E124" s="16"/>
      <c r="F124" s="16"/>
      <c r="G124" s="16"/>
      <c r="H124" s="27"/>
      <c r="I124" s="27"/>
      <c r="J124" s="16"/>
    </row>
    <row r="125" spans="1:11" ht="15" x14ac:dyDescent="0.25">
      <c r="A125" s="17" t="s">
        <v>48</v>
      </c>
      <c r="B125" s="102"/>
      <c r="C125" s="102"/>
      <c r="D125" s="102"/>
      <c r="E125" s="16"/>
      <c r="F125" s="16"/>
      <c r="G125" s="16"/>
      <c r="H125" s="27"/>
      <c r="I125" s="27"/>
      <c r="J125" s="16"/>
    </row>
    <row r="126" spans="1:11" ht="14.25" x14ac:dyDescent="0.2">
      <c r="A126" s="31" t="s">
        <v>251</v>
      </c>
      <c r="B126" s="102"/>
      <c r="C126" s="102">
        <v>215000</v>
      </c>
      <c r="D126" s="102">
        <v>361000</v>
      </c>
      <c r="E126" s="16">
        <f>SUM(B126:D126)</f>
        <v>576000</v>
      </c>
      <c r="F126" s="16">
        <v>225000</v>
      </c>
      <c r="G126" s="16">
        <v>825000</v>
      </c>
      <c r="H126" s="27"/>
      <c r="I126" s="27"/>
      <c r="J126" s="16">
        <f t="shared" ref="J126:J138" si="17">SUM(E126:I126)</f>
        <v>1626000</v>
      </c>
    </row>
    <row r="127" spans="1:11" ht="14.25" x14ac:dyDescent="0.2">
      <c r="A127" s="31" t="s">
        <v>250</v>
      </c>
      <c r="B127" s="102"/>
      <c r="C127" s="102">
        <v>12000</v>
      </c>
      <c r="D127" s="102">
        <v>134000</v>
      </c>
      <c r="E127" s="16">
        <f t="shared" ref="E127:E138" si="18">SUM(B127:D127)</f>
        <v>146000</v>
      </c>
      <c r="F127" s="16">
        <v>12000</v>
      </c>
      <c r="G127" s="16">
        <v>12000</v>
      </c>
      <c r="H127" s="27">
        <v>12000</v>
      </c>
      <c r="I127" s="27">
        <v>12000</v>
      </c>
      <c r="J127" s="16">
        <f t="shared" si="17"/>
        <v>194000</v>
      </c>
    </row>
    <row r="128" spans="1:11" ht="14.25" x14ac:dyDescent="0.2">
      <c r="A128" s="31" t="s">
        <v>49</v>
      </c>
      <c r="B128" s="102">
        <v>37000</v>
      </c>
      <c r="C128" s="102">
        <v>285000</v>
      </c>
      <c r="D128" s="102">
        <f>20215-B128</f>
        <v>-16785</v>
      </c>
      <c r="E128" s="16">
        <f t="shared" si="18"/>
        <v>305215</v>
      </c>
      <c r="F128" s="16"/>
      <c r="G128" s="16"/>
      <c r="H128" s="27"/>
      <c r="I128" s="27"/>
      <c r="J128" s="16">
        <f t="shared" si="17"/>
        <v>305215</v>
      </c>
      <c r="K128" s="21"/>
    </row>
    <row r="129" spans="1:11" ht="14.25" x14ac:dyDescent="0.2">
      <c r="A129" s="31" t="s">
        <v>50</v>
      </c>
      <c r="B129" s="102"/>
      <c r="C129" s="102"/>
      <c r="D129" s="102">
        <v>18492</v>
      </c>
      <c r="E129" s="16">
        <f t="shared" si="18"/>
        <v>18492</v>
      </c>
      <c r="F129" s="16"/>
      <c r="G129" s="16"/>
      <c r="H129" s="27"/>
      <c r="I129" s="27"/>
      <c r="J129" s="16">
        <f t="shared" si="17"/>
        <v>18492</v>
      </c>
      <c r="K129" s="21"/>
    </row>
    <row r="130" spans="1:11" ht="14.25" x14ac:dyDescent="0.2">
      <c r="A130" s="31" t="s">
        <v>51</v>
      </c>
      <c r="B130" s="102"/>
      <c r="C130" s="102">
        <v>62000</v>
      </c>
      <c r="D130" s="102">
        <v>-7062</v>
      </c>
      <c r="E130" s="16">
        <f t="shared" si="18"/>
        <v>54938</v>
      </c>
      <c r="F130" s="16">
        <v>0</v>
      </c>
      <c r="G130" s="16">
        <v>0</v>
      </c>
      <c r="H130" s="16">
        <v>0</v>
      </c>
      <c r="I130" s="16">
        <v>0</v>
      </c>
      <c r="J130" s="16">
        <f t="shared" si="17"/>
        <v>54938</v>
      </c>
      <c r="K130" s="59"/>
    </row>
    <row r="131" spans="1:11" ht="14.25" x14ac:dyDescent="0.2">
      <c r="A131" s="31" t="s">
        <v>112</v>
      </c>
      <c r="B131" s="102"/>
      <c r="C131" s="102">
        <v>120000</v>
      </c>
      <c r="D131" s="102"/>
      <c r="E131" s="16">
        <f t="shared" si="18"/>
        <v>120000</v>
      </c>
      <c r="F131" s="16">
        <v>120000</v>
      </c>
      <c r="G131" s="16">
        <v>120000</v>
      </c>
      <c r="H131" s="16">
        <v>120000</v>
      </c>
      <c r="I131" s="16">
        <v>120000</v>
      </c>
      <c r="J131" s="16">
        <f t="shared" si="17"/>
        <v>600000</v>
      </c>
    </row>
    <row r="132" spans="1:11" ht="14.25" x14ac:dyDescent="0.2">
      <c r="A132" s="31" t="s">
        <v>252</v>
      </c>
      <c r="B132" s="102"/>
      <c r="C132" s="102">
        <v>50000</v>
      </c>
      <c r="D132" s="102"/>
      <c r="E132" s="16">
        <f t="shared" si="18"/>
        <v>50000</v>
      </c>
      <c r="F132" s="16">
        <v>50000</v>
      </c>
      <c r="G132" s="16">
        <v>50000</v>
      </c>
      <c r="H132" s="16">
        <v>50000</v>
      </c>
      <c r="I132" s="16">
        <v>50000</v>
      </c>
      <c r="J132" s="16">
        <f t="shared" si="17"/>
        <v>250000</v>
      </c>
    </row>
    <row r="133" spans="1:11" ht="14.25" x14ac:dyDescent="0.2">
      <c r="A133" s="31" t="s">
        <v>103</v>
      </c>
      <c r="B133" s="102"/>
      <c r="C133" s="102"/>
      <c r="D133" s="102">
        <v>17000</v>
      </c>
      <c r="E133" s="16">
        <f t="shared" si="18"/>
        <v>17000</v>
      </c>
      <c r="F133" s="16"/>
      <c r="G133" s="16"/>
      <c r="H133" s="27"/>
      <c r="I133" s="27"/>
      <c r="J133" s="16">
        <f t="shared" si="17"/>
        <v>17000</v>
      </c>
    </row>
    <row r="134" spans="1:11" ht="14.25" x14ac:dyDescent="0.2">
      <c r="A134" s="31" t="s">
        <v>253</v>
      </c>
      <c r="B134" s="102"/>
      <c r="C134" s="102">
        <v>50000</v>
      </c>
      <c r="D134" s="102">
        <v>49016</v>
      </c>
      <c r="E134" s="16">
        <f t="shared" si="18"/>
        <v>99016</v>
      </c>
      <c r="F134" s="16">
        <v>50000</v>
      </c>
      <c r="G134" s="16">
        <v>50000</v>
      </c>
      <c r="H134" s="27">
        <v>50000</v>
      </c>
      <c r="I134" s="27">
        <v>50000</v>
      </c>
      <c r="J134" s="16">
        <f t="shared" si="17"/>
        <v>299016</v>
      </c>
    </row>
    <row r="135" spans="1:11" ht="14.25" x14ac:dyDescent="0.2">
      <c r="A135" s="31" t="s">
        <v>241</v>
      </c>
      <c r="B135" s="102"/>
      <c r="C135" s="102"/>
      <c r="D135" s="102">
        <v>34320.170000000013</v>
      </c>
      <c r="E135" s="16">
        <f t="shared" si="18"/>
        <v>34320.170000000013</v>
      </c>
      <c r="F135" s="16"/>
      <c r="G135" s="16"/>
      <c r="H135" s="27"/>
      <c r="I135" s="27"/>
      <c r="J135" s="16">
        <f t="shared" si="17"/>
        <v>34320.170000000013</v>
      </c>
    </row>
    <row r="136" spans="1:11" ht="14.25" x14ac:dyDescent="0.2">
      <c r="A136" s="31" t="s">
        <v>57</v>
      </c>
      <c r="B136" s="102"/>
      <c r="C136" s="102"/>
      <c r="D136" s="102">
        <v>9162</v>
      </c>
      <c r="E136" s="16">
        <f t="shared" si="18"/>
        <v>9162</v>
      </c>
      <c r="F136" s="16"/>
      <c r="G136" s="16"/>
      <c r="H136" s="27"/>
      <c r="I136" s="27"/>
      <c r="J136" s="16">
        <f t="shared" si="17"/>
        <v>9162</v>
      </c>
    </row>
    <row r="137" spans="1:11" ht="14.25" x14ac:dyDescent="0.2">
      <c r="A137" s="31" t="s">
        <v>43</v>
      </c>
      <c r="B137" s="102"/>
      <c r="C137" s="102"/>
      <c r="D137" s="102"/>
      <c r="E137" s="16">
        <f t="shared" si="18"/>
        <v>0</v>
      </c>
      <c r="F137" s="16"/>
      <c r="G137" s="16"/>
      <c r="H137" s="27"/>
      <c r="I137" s="27"/>
      <c r="J137" s="16">
        <f t="shared" si="17"/>
        <v>0</v>
      </c>
    </row>
    <row r="138" spans="1:11" ht="14.25" x14ac:dyDescent="0.2">
      <c r="A138" s="94" t="s">
        <v>243</v>
      </c>
      <c r="B138" s="103"/>
      <c r="C138" s="103"/>
      <c r="D138" s="103"/>
      <c r="E138" s="89">
        <f t="shared" si="18"/>
        <v>0</v>
      </c>
      <c r="F138" s="89">
        <v>143000</v>
      </c>
      <c r="G138" s="89">
        <v>-457000</v>
      </c>
      <c r="H138" s="90">
        <v>368000</v>
      </c>
      <c r="I138" s="90">
        <v>368000</v>
      </c>
      <c r="J138" s="16">
        <f t="shared" si="17"/>
        <v>422000</v>
      </c>
    </row>
    <row r="139" spans="1:11" ht="14.25" x14ac:dyDescent="0.2">
      <c r="A139" s="15"/>
      <c r="B139" s="102"/>
      <c r="C139" s="102"/>
      <c r="D139" s="102"/>
      <c r="E139" s="16"/>
      <c r="F139" s="16"/>
      <c r="G139" s="16"/>
      <c r="H139" s="27"/>
      <c r="I139" s="27"/>
      <c r="J139" s="16"/>
    </row>
    <row r="140" spans="1:11" ht="15" x14ac:dyDescent="0.25">
      <c r="A140" s="17" t="s">
        <v>52</v>
      </c>
      <c r="B140" s="105">
        <f t="shared" ref="B140:C140" si="19">SUM(B126:B139)</f>
        <v>37000</v>
      </c>
      <c r="C140" s="105">
        <f t="shared" si="19"/>
        <v>794000</v>
      </c>
      <c r="D140" s="105">
        <f>SUM(D126:D139)</f>
        <v>599143.17000000004</v>
      </c>
      <c r="E140" s="29">
        <f t="shared" ref="E140:J140" si="20">SUM(E126:E139)</f>
        <v>1430143.17</v>
      </c>
      <c r="F140" s="29">
        <f t="shared" si="20"/>
        <v>600000</v>
      </c>
      <c r="G140" s="29">
        <f t="shared" si="20"/>
        <v>600000</v>
      </c>
      <c r="H140" s="29">
        <f t="shared" si="20"/>
        <v>600000</v>
      </c>
      <c r="I140" s="29">
        <f t="shared" si="20"/>
        <v>600000</v>
      </c>
      <c r="J140" s="29">
        <f t="shared" si="20"/>
        <v>3830143.17</v>
      </c>
    </row>
    <row r="141" spans="1:11" ht="15" x14ac:dyDescent="0.25">
      <c r="A141" s="17"/>
      <c r="B141" s="106"/>
      <c r="C141" s="106"/>
      <c r="D141" s="106"/>
      <c r="E141" s="23"/>
      <c r="F141" s="23"/>
      <c r="G141" s="23"/>
      <c r="H141" s="30"/>
      <c r="I141" s="30"/>
      <c r="J141" s="23"/>
    </row>
    <row r="142" spans="1:11" ht="15" x14ac:dyDescent="0.25">
      <c r="A142" s="24" t="s">
        <v>53</v>
      </c>
      <c r="B142" s="25">
        <f t="shared" ref="B142:D142" si="21">SUM(B84+B121+B123+B140)</f>
        <v>20139741</v>
      </c>
      <c r="C142" s="25">
        <f t="shared" si="21"/>
        <v>16807377</v>
      </c>
      <c r="D142" s="25">
        <f t="shared" si="21"/>
        <v>5548764.5700000003</v>
      </c>
      <c r="E142" s="25">
        <f t="shared" ref="E142:J142" si="22">SUM(E84+E121+E123+E140)</f>
        <v>42495882.57</v>
      </c>
      <c r="F142" s="25">
        <f t="shared" si="22"/>
        <v>42700000</v>
      </c>
      <c r="G142" s="25">
        <f t="shared" si="22"/>
        <v>48848229</v>
      </c>
      <c r="H142" s="25">
        <f t="shared" si="22"/>
        <v>43161745</v>
      </c>
      <c r="I142" s="25">
        <f t="shared" si="22"/>
        <v>25440000</v>
      </c>
      <c r="J142" s="25">
        <f t="shared" si="22"/>
        <v>202645856.56999999</v>
      </c>
    </row>
    <row r="144" spans="1:11" ht="30" x14ac:dyDescent="0.25">
      <c r="B144" s="91" t="s">
        <v>249</v>
      </c>
      <c r="C144" s="92">
        <f>SUM(B142:C142)</f>
        <v>36947118</v>
      </c>
      <c r="F144" s="19"/>
      <c r="G144" s="20"/>
      <c r="H144"/>
      <c r="I144"/>
    </row>
    <row r="145" spans="1:11" x14ac:dyDescent="0.2">
      <c r="A145" s="21"/>
      <c r="B145" s="26"/>
      <c r="C145" s="26"/>
      <c r="D145" s="26"/>
      <c r="E145" s="53"/>
    </row>
    <row r="146" spans="1:11" x14ac:dyDescent="0.2">
      <c r="B146" s="60"/>
      <c r="C146" s="60"/>
      <c r="D146" s="60"/>
      <c r="E146" s="60"/>
      <c r="F146" s="60"/>
      <c r="G146" s="60"/>
      <c r="H146" s="60"/>
      <c r="I146" s="60"/>
      <c r="J146" s="60"/>
      <c r="K146" s="60"/>
    </row>
    <row r="147" spans="1:11" x14ac:dyDescent="0.2">
      <c r="G147"/>
      <c r="H147"/>
      <c r="I147"/>
    </row>
    <row r="148" spans="1:11" x14ac:dyDescent="0.2">
      <c r="G148"/>
      <c r="H148"/>
      <c r="I148"/>
    </row>
    <row r="149" spans="1:11" x14ac:dyDescent="0.2">
      <c r="A149" s="93"/>
      <c r="G149"/>
      <c r="H149"/>
      <c r="I149"/>
    </row>
    <row r="150" spans="1:11" x14ac:dyDescent="0.2">
      <c r="G150"/>
      <c r="H150"/>
      <c r="I150"/>
    </row>
    <row r="151" spans="1:11" x14ac:dyDescent="0.2">
      <c r="G151"/>
      <c r="H151"/>
      <c r="I151"/>
    </row>
    <row r="152" spans="1:11" x14ac:dyDescent="0.2">
      <c r="G152"/>
      <c r="H152"/>
      <c r="I152"/>
    </row>
    <row r="153" spans="1:11" x14ac:dyDescent="0.2">
      <c r="G153"/>
      <c r="H153"/>
      <c r="I153"/>
    </row>
    <row r="154" spans="1:11" x14ac:dyDescent="0.2">
      <c r="G154"/>
      <c r="H154"/>
      <c r="I154"/>
    </row>
    <row r="155" spans="1:11" x14ac:dyDescent="0.2">
      <c r="G155"/>
      <c r="H155"/>
      <c r="I155"/>
    </row>
    <row r="156" spans="1:11" x14ac:dyDescent="0.2">
      <c r="G156"/>
      <c r="H156"/>
      <c r="I156"/>
    </row>
    <row r="157" spans="1:11" x14ac:dyDescent="0.2">
      <c r="G157"/>
      <c r="H157"/>
      <c r="I157"/>
    </row>
    <row r="158" spans="1:11" x14ac:dyDescent="0.2">
      <c r="G158"/>
      <c r="H158"/>
      <c r="I158"/>
    </row>
    <row r="159" spans="1:11" x14ac:dyDescent="0.2">
      <c r="G159"/>
      <c r="H159"/>
      <c r="I159"/>
    </row>
    <row r="160" spans="1:11" x14ac:dyDescent="0.2">
      <c r="G160"/>
      <c r="H160"/>
      <c r="I160"/>
    </row>
    <row r="161" customFormat="1" x14ac:dyDescent="0.2"/>
    <row r="162" customFormat="1" x14ac:dyDescent="0.2"/>
    <row r="163" customFormat="1" x14ac:dyDescent="0.2"/>
    <row r="164" customFormat="1" x14ac:dyDescent="0.2"/>
    <row r="165" customFormat="1" x14ac:dyDescent="0.2"/>
    <row r="166" customFormat="1" x14ac:dyDescent="0.2"/>
    <row r="167" customFormat="1" x14ac:dyDescent="0.2"/>
    <row r="168" customFormat="1" x14ac:dyDescent="0.2"/>
    <row r="169" customFormat="1" x14ac:dyDescent="0.2"/>
    <row r="170" customFormat="1" x14ac:dyDescent="0.2"/>
    <row r="171" customFormat="1" x14ac:dyDescent="0.2"/>
    <row r="172" customFormat="1" x14ac:dyDescent="0.2"/>
    <row r="173" customFormat="1" x14ac:dyDescent="0.2"/>
    <row r="174" customForma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</sheetData>
  <sheetProtection algorithmName="SHA-512" hashValue="OGdtssBhM4aEIIvyhHRmAD5GRLGH7QNEz1//Z41NnDjKgy2H/lOiRdt8uZz3DQlynZoU5ZHzClNK1OPxHUbbtA==" saltValue="UQN+Cux0Ylt0geoLBLGnNQ==" spinCount="100000" sheet="1" objects="1" scenarios="1" selectLockedCells="1" selectUnlockedCells="1"/>
  <phoneticPr fontId="6" type="noConversion"/>
  <pageMargins left="0.70866141732283472" right="0.70866141732283472" top="0.74803149606299213" bottom="0.74803149606299213" header="0.31496062992125984" footer="0.31496062992125984"/>
  <pageSetup paperSize="8" scale="47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F7E4E4-8ADB-4BD0-9F1B-CE9D8AA4AE49}">
  <dimension ref="A1:H92"/>
  <sheetViews>
    <sheetView showGridLines="0" zoomScale="80" zoomScaleNormal="80" workbookViewId="0">
      <selection activeCell="B27" sqref="B27:B31"/>
    </sheetView>
  </sheetViews>
  <sheetFormatPr defaultRowHeight="12.75" x14ac:dyDescent="0.2"/>
  <cols>
    <col min="1" max="1" width="56.42578125" bestFit="1" customWidth="1"/>
    <col min="2" max="4" width="14.140625" customWidth="1"/>
    <col min="5" max="5" width="14.140625" style="19" customWidth="1"/>
    <col min="6" max="6" width="14.140625" style="20" customWidth="1"/>
    <col min="7" max="7" width="15.140625" style="20" bestFit="1" customWidth="1"/>
    <col min="8" max="8" width="15.140625" bestFit="1" customWidth="1"/>
    <col min="9" max="9" width="37.28515625" bestFit="1" customWidth="1"/>
  </cols>
  <sheetData>
    <row r="1" spans="1:8" ht="15" x14ac:dyDescent="0.25">
      <c r="A1" s="1" t="s">
        <v>95</v>
      </c>
      <c r="B1" s="1"/>
      <c r="C1" s="2"/>
      <c r="D1" s="2"/>
      <c r="E1" s="2"/>
      <c r="F1" s="3"/>
      <c r="G1" s="3"/>
      <c r="H1" s="2"/>
    </row>
    <row r="2" spans="1:8" ht="15" x14ac:dyDescent="0.25">
      <c r="A2" s="1"/>
      <c r="B2" s="1"/>
      <c r="C2" s="2"/>
      <c r="D2" s="2"/>
      <c r="E2" s="2"/>
      <c r="F2" s="3"/>
      <c r="G2" s="3"/>
      <c r="H2" s="2"/>
    </row>
    <row r="3" spans="1:8" ht="30" x14ac:dyDescent="0.25">
      <c r="A3" s="4"/>
      <c r="B3" s="32" t="s">
        <v>55</v>
      </c>
      <c r="C3" s="33" t="s">
        <v>0</v>
      </c>
      <c r="D3" s="33" t="s">
        <v>1</v>
      </c>
      <c r="E3" s="33" t="s">
        <v>2</v>
      </c>
      <c r="F3" s="33" t="s">
        <v>3</v>
      </c>
      <c r="G3" s="33" t="s">
        <v>56</v>
      </c>
      <c r="H3" s="33" t="s">
        <v>4</v>
      </c>
    </row>
    <row r="4" spans="1:8" ht="15.75" thickBot="1" x14ac:dyDescent="0.3">
      <c r="A4" s="11"/>
      <c r="B4" s="34" t="s">
        <v>6</v>
      </c>
      <c r="C4" s="35" t="s">
        <v>6</v>
      </c>
      <c r="D4" s="34" t="s">
        <v>6</v>
      </c>
      <c r="E4" s="34" t="s">
        <v>6</v>
      </c>
      <c r="F4" s="34" t="s">
        <v>6</v>
      </c>
      <c r="G4" s="34" t="s">
        <v>6</v>
      </c>
      <c r="H4" s="34" t="s">
        <v>6</v>
      </c>
    </row>
    <row r="5" spans="1:8" ht="15" x14ac:dyDescent="0.25">
      <c r="A5" s="37" t="s">
        <v>96</v>
      </c>
      <c r="B5" s="45"/>
      <c r="C5" s="46"/>
      <c r="D5" s="45"/>
      <c r="E5" s="45"/>
      <c r="F5" s="45"/>
      <c r="G5" s="45"/>
      <c r="H5" s="47"/>
    </row>
    <row r="6" spans="1:8" ht="15" x14ac:dyDescent="0.25">
      <c r="A6" s="42" t="s">
        <v>8</v>
      </c>
      <c r="B6" s="48">
        <f>'FINAL 21-22'!B12</f>
        <v>9000</v>
      </c>
      <c r="C6" s="51">
        <f>'FINAL 21-22'!E12</f>
        <v>1198100</v>
      </c>
      <c r="D6" s="50">
        <f>'FINAL 21-22'!F12</f>
        <v>840000</v>
      </c>
      <c r="E6" s="50">
        <f>'FINAL 21-22'!G12</f>
        <v>2482000</v>
      </c>
      <c r="F6" s="50">
        <f>'FINAL 21-22'!H12</f>
        <v>926000</v>
      </c>
      <c r="G6" s="50">
        <f>'FINAL 21-22'!I12</f>
        <v>926000</v>
      </c>
      <c r="H6" s="49">
        <f>'FINAL 21-22'!J12</f>
        <v>6372100</v>
      </c>
    </row>
    <row r="7" spans="1:8" ht="15" x14ac:dyDescent="0.25">
      <c r="A7" s="41" t="s">
        <v>12</v>
      </c>
      <c r="B7" s="50">
        <f>'FINAL 21-22'!B31</f>
        <v>367000</v>
      </c>
      <c r="C7" s="51">
        <f>'FINAL 21-22'!E31</f>
        <v>1840705.3199999998</v>
      </c>
      <c r="D7" s="50">
        <f>'FINAL 21-22'!F31</f>
        <v>905000</v>
      </c>
      <c r="E7" s="50">
        <f>'FINAL 21-22'!G31</f>
        <v>1558000</v>
      </c>
      <c r="F7" s="50">
        <f>'FINAL 21-22'!H31</f>
        <v>1811000</v>
      </c>
      <c r="G7" s="50">
        <f>'FINAL 21-22'!I31</f>
        <v>0</v>
      </c>
      <c r="H7" s="49">
        <f>'FINAL 21-22'!J31</f>
        <v>6114705.3200000003</v>
      </c>
    </row>
    <row r="8" spans="1:8" ht="15" x14ac:dyDescent="0.25">
      <c r="A8" s="41" t="s">
        <v>24</v>
      </c>
      <c r="B8" s="48">
        <f>'FINAL 21-22'!B36</f>
        <v>0</v>
      </c>
      <c r="C8" s="51">
        <f>'FINAL 21-22'!E36</f>
        <v>716718</v>
      </c>
      <c r="D8" s="50">
        <f>'FINAL 21-22'!F36</f>
        <v>840000</v>
      </c>
      <c r="E8" s="50">
        <f>'FINAL 21-22'!G36</f>
        <v>882000</v>
      </c>
      <c r="F8" s="50">
        <f>'FINAL 21-22'!H36</f>
        <v>926000</v>
      </c>
      <c r="G8" s="50">
        <f>'FINAL 21-22'!I36</f>
        <v>926000</v>
      </c>
      <c r="H8" s="49">
        <f>'FINAL 21-22'!J36</f>
        <v>4290718</v>
      </c>
    </row>
    <row r="9" spans="1:8" ht="15" x14ac:dyDescent="0.25">
      <c r="A9" s="41" t="s">
        <v>27</v>
      </c>
      <c r="B9" s="48">
        <f>'FINAL 21-22'!B73</f>
        <v>314780</v>
      </c>
      <c r="C9" s="51">
        <f>'FINAL 21-22'!E73</f>
        <v>3149375</v>
      </c>
      <c r="D9" s="50">
        <f>'FINAL 21-22'!F73</f>
        <v>1415000</v>
      </c>
      <c r="E9" s="50">
        <f>'FINAL 21-22'!G73</f>
        <v>-922000</v>
      </c>
      <c r="F9" s="50">
        <f>'FINAL 21-22'!H73</f>
        <v>337000</v>
      </c>
      <c r="G9" s="50">
        <f>'FINAL 21-22'!I73</f>
        <v>2148000</v>
      </c>
      <c r="H9" s="49">
        <f>'FINAL 21-22'!J73</f>
        <v>6127375</v>
      </c>
    </row>
    <row r="10" spans="1:8" ht="15" x14ac:dyDescent="0.25">
      <c r="A10" s="41" t="s">
        <v>60</v>
      </c>
      <c r="B10" s="48">
        <f>'FINAL 21-22'!B82</f>
        <v>15000</v>
      </c>
      <c r="C10" s="51">
        <f>'FINAL 21-22'!E82</f>
        <v>161300</v>
      </c>
      <c r="D10" s="50">
        <f>'FINAL 21-22'!F82</f>
        <v>3900000</v>
      </c>
      <c r="E10" s="50">
        <f>'FINAL 21-22'!G82</f>
        <v>3900000</v>
      </c>
      <c r="F10" s="50">
        <f>'FINAL 21-22'!H82</f>
        <v>3800000</v>
      </c>
      <c r="G10" s="50">
        <f>'FINAL 21-22'!I82</f>
        <v>1300000</v>
      </c>
      <c r="H10" s="49">
        <f>'FINAL 21-22'!J82</f>
        <v>13061300</v>
      </c>
    </row>
    <row r="11" spans="1:8" ht="15" x14ac:dyDescent="0.25">
      <c r="A11" s="40" t="s">
        <v>97</v>
      </c>
      <c r="B11" s="36">
        <f>SUM(B6:B10)</f>
        <v>705780</v>
      </c>
      <c r="C11" s="36">
        <f t="shared" ref="C11:H11" si="0">SUM(C6:C10)</f>
        <v>7066198.3200000003</v>
      </c>
      <c r="D11" s="36">
        <f t="shared" si="0"/>
        <v>7900000</v>
      </c>
      <c r="E11" s="36">
        <f t="shared" si="0"/>
        <v>7900000</v>
      </c>
      <c r="F11" s="36">
        <f t="shared" si="0"/>
        <v>7800000</v>
      </c>
      <c r="G11" s="36">
        <f t="shared" si="0"/>
        <v>5300000</v>
      </c>
      <c r="H11" s="43">
        <f t="shared" si="0"/>
        <v>35966198.32</v>
      </c>
    </row>
    <row r="12" spans="1:8" ht="15" x14ac:dyDescent="0.25">
      <c r="A12" s="39"/>
      <c r="B12" s="50"/>
      <c r="C12" s="51"/>
      <c r="D12" s="50"/>
      <c r="E12" s="50"/>
      <c r="F12" s="50"/>
      <c r="G12" s="50"/>
      <c r="H12" s="49"/>
    </row>
    <row r="13" spans="1:8" ht="15" x14ac:dyDescent="0.25">
      <c r="A13" s="38" t="s">
        <v>34</v>
      </c>
      <c r="B13" s="50"/>
      <c r="C13" s="51"/>
      <c r="D13" s="50"/>
      <c r="E13" s="50"/>
      <c r="F13" s="50"/>
      <c r="G13" s="50"/>
      <c r="H13" s="49"/>
    </row>
    <row r="14" spans="1:8" ht="15" x14ac:dyDescent="0.25">
      <c r="A14" s="41" t="s">
        <v>93</v>
      </c>
      <c r="B14" s="50">
        <f>'FINAL 21-22'!B90</f>
        <v>2415855</v>
      </c>
      <c r="C14" s="51">
        <f>'FINAL 21-22'!E90</f>
        <v>7568206</v>
      </c>
      <c r="D14" s="50">
        <f>'FINAL 21-22'!F90</f>
        <v>0</v>
      </c>
      <c r="E14" s="50">
        <f>'FINAL 21-22'!G90</f>
        <v>0</v>
      </c>
      <c r="F14" s="50">
        <f>'FINAL 21-22'!H90</f>
        <v>0</v>
      </c>
      <c r="G14" s="50">
        <f>'FINAL 21-22'!I90</f>
        <v>0</v>
      </c>
      <c r="H14" s="49">
        <f>'FINAL 21-22'!J90</f>
        <v>7568206</v>
      </c>
    </row>
    <row r="15" spans="1:8" ht="15" x14ac:dyDescent="0.25">
      <c r="A15" s="41" t="s">
        <v>99</v>
      </c>
      <c r="B15" s="50">
        <f>'FINAL 21-22'!B121-'FINAL 21-22'!B87-'FINAL 21-22'!B90</f>
        <v>15565994</v>
      </c>
      <c r="C15" s="51">
        <f>'FINAL 21-22'!E121-'FINAL 21-22'!E87-'FINAL 21-22'!E90</f>
        <v>19926696.079999998</v>
      </c>
      <c r="D15" s="50">
        <f>'FINAL 21-22'!F121-'FINAL 21-22'!F87-'FINAL 21-22'!F90</f>
        <v>29200000</v>
      </c>
      <c r="E15" s="50">
        <f>'FINAL 21-22'!G121-'FINAL 21-22'!G87-'FINAL 21-22'!G90</f>
        <v>35348229</v>
      </c>
      <c r="F15" s="50">
        <f>'FINAL 21-22'!H121-'FINAL 21-22'!H87-'FINAL 21-22'!H90</f>
        <v>29761745</v>
      </c>
      <c r="G15" s="50">
        <f>'FINAL 21-22'!I121-'FINAL 21-22'!I87-'FINAL 21-22'!I90</f>
        <v>14540000</v>
      </c>
      <c r="H15" s="49">
        <f>'FINAL 21-22'!J121-'FINAL 21-22'!J87-'FINAL 21-22'!J90</f>
        <v>128776670.08000001</v>
      </c>
    </row>
    <row r="16" spans="1:8" ht="15" x14ac:dyDescent="0.25">
      <c r="A16" s="41" t="s">
        <v>98</v>
      </c>
      <c r="B16" s="50">
        <f>'FINAL 21-22'!B87</f>
        <v>560274</v>
      </c>
      <c r="C16" s="51">
        <f>'FINAL 21-22'!E87</f>
        <v>1273324</v>
      </c>
      <c r="D16" s="50">
        <f>'FINAL 21-22'!F87</f>
        <v>1000000</v>
      </c>
      <c r="E16" s="50">
        <f>'FINAL 21-22'!G87</f>
        <v>1000000</v>
      </c>
      <c r="F16" s="50">
        <f>'FINAL 21-22'!H87</f>
        <v>1000000</v>
      </c>
      <c r="G16" s="50">
        <f>'FINAL 21-22'!I87</f>
        <v>1000000</v>
      </c>
      <c r="H16" s="49">
        <f>'FINAL 21-22'!J87</f>
        <v>5273324</v>
      </c>
    </row>
    <row r="17" spans="1:8" ht="15" x14ac:dyDescent="0.25">
      <c r="A17" s="40" t="s">
        <v>46</v>
      </c>
      <c r="B17" s="36">
        <f>SUM(B14:B16)</f>
        <v>18542123</v>
      </c>
      <c r="C17" s="36">
        <f t="shared" ref="C17:H17" si="1">SUM(C14:C16)</f>
        <v>28768226.079999998</v>
      </c>
      <c r="D17" s="36">
        <f t="shared" si="1"/>
        <v>30200000</v>
      </c>
      <c r="E17" s="36">
        <f t="shared" si="1"/>
        <v>36348229</v>
      </c>
      <c r="F17" s="36">
        <f t="shared" si="1"/>
        <v>30761745</v>
      </c>
      <c r="G17" s="36">
        <f t="shared" si="1"/>
        <v>15540000</v>
      </c>
      <c r="H17" s="36">
        <f t="shared" si="1"/>
        <v>141618200.08000001</v>
      </c>
    </row>
    <row r="18" spans="1:8" ht="15" x14ac:dyDescent="0.25">
      <c r="A18" s="39"/>
      <c r="B18" s="48"/>
      <c r="C18" s="36"/>
      <c r="D18" s="48"/>
      <c r="E18" s="48"/>
      <c r="F18" s="50"/>
      <c r="G18" s="50"/>
      <c r="H18" s="49"/>
    </row>
    <row r="19" spans="1:8" ht="15" x14ac:dyDescent="0.25">
      <c r="A19" s="40" t="s">
        <v>100</v>
      </c>
      <c r="B19" s="36">
        <v>187345</v>
      </c>
      <c r="C19" s="36">
        <v>4000000</v>
      </c>
      <c r="D19" s="36">
        <v>3300000</v>
      </c>
      <c r="E19" s="36">
        <v>4600000</v>
      </c>
      <c r="F19" s="36">
        <v>4200000</v>
      </c>
      <c r="G19" s="36">
        <v>3600000</v>
      </c>
      <c r="H19" s="43">
        <f>SUM(B19:G19)</f>
        <v>19887345</v>
      </c>
    </row>
    <row r="20" spans="1:8" ht="15" x14ac:dyDescent="0.25">
      <c r="A20" s="38"/>
      <c r="B20" s="50"/>
      <c r="C20" s="51"/>
      <c r="D20" s="50"/>
      <c r="E20" s="50"/>
      <c r="F20" s="50"/>
      <c r="G20" s="50"/>
      <c r="H20" s="49"/>
    </row>
    <row r="21" spans="1:8" ht="15" x14ac:dyDescent="0.25">
      <c r="A21" s="40" t="s">
        <v>52</v>
      </c>
      <c r="B21" s="36">
        <f>'FINAL 21-22'!B140</f>
        <v>37000</v>
      </c>
      <c r="C21" s="36">
        <f>'FINAL 21-22'!E140</f>
        <v>1430143.17</v>
      </c>
      <c r="D21" s="36">
        <f>'FINAL 21-22'!F140</f>
        <v>600000</v>
      </c>
      <c r="E21" s="36">
        <f>'FINAL 21-22'!G140</f>
        <v>600000</v>
      </c>
      <c r="F21" s="36">
        <f>'FINAL 21-22'!H140</f>
        <v>600000</v>
      </c>
      <c r="G21" s="36">
        <f>'FINAL 21-22'!I140</f>
        <v>600000</v>
      </c>
      <c r="H21" s="43">
        <f>'FINAL 21-22'!J140</f>
        <v>3830143.17</v>
      </c>
    </row>
    <row r="22" spans="1:8" ht="15" x14ac:dyDescent="0.25">
      <c r="A22" s="38"/>
      <c r="B22" s="50"/>
      <c r="C22" s="51"/>
      <c r="D22" s="50"/>
      <c r="E22" s="50"/>
      <c r="F22" s="50"/>
      <c r="G22" s="50"/>
      <c r="H22" s="49"/>
    </row>
    <row r="23" spans="1:8" ht="15.75" thickBot="1" x14ac:dyDescent="0.3">
      <c r="A23" s="44" t="s">
        <v>53</v>
      </c>
      <c r="B23" s="52">
        <f>B21+B19+B17+B11</f>
        <v>19472248</v>
      </c>
      <c r="C23" s="52">
        <f t="shared" ref="C23:H23" si="2">C21+C19+C17+C11</f>
        <v>41264567.57</v>
      </c>
      <c r="D23" s="52">
        <f t="shared" si="2"/>
        <v>42000000</v>
      </c>
      <c r="E23" s="52">
        <f t="shared" si="2"/>
        <v>49448229</v>
      </c>
      <c r="F23" s="52">
        <f t="shared" si="2"/>
        <v>43361745</v>
      </c>
      <c r="G23" s="52">
        <f t="shared" si="2"/>
        <v>25040000</v>
      </c>
      <c r="H23" s="52">
        <f t="shared" si="2"/>
        <v>201301886.56999999</v>
      </c>
    </row>
    <row r="25" spans="1:8" ht="25.5" x14ac:dyDescent="0.2">
      <c r="A25" s="54" t="s">
        <v>111</v>
      </c>
      <c r="B25" s="57" t="s">
        <v>109</v>
      </c>
      <c r="C25" s="55" t="s">
        <v>110</v>
      </c>
      <c r="D25" s="82" t="s">
        <v>226</v>
      </c>
    </row>
    <row r="27" spans="1:8" x14ac:dyDescent="0.2">
      <c r="A27" s="21" t="s">
        <v>108</v>
      </c>
      <c r="B27" s="56">
        <v>6254000</v>
      </c>
      <c r="C27" s="56">
        <v>7160238</v>
      </c>
      <c r="D27" s="56">
        <f>0.85*C27</f>
        <v>6086202.2999999998</v>
      </c>
    </row>
    <row r="28" spans="1:8" x14ac:dyDescent="0.2">
      <c r="A28" s="21" t="s">
        <v>34</v>
      </c>
      <c r="B28" s="56">
        <v>26000000</v>
      </c>
      <c r="C28" s="56">
        <v>12725463</v>
      </c>
      <c r="D28" s="56">
        <f>0.85*C28</f>
        <v>10816643.549999999</v>
      </c>
    </row>
    <row r="29" spans="1:8" x14ac:dyDescent="0.2">
      <c r="A29" t="s">
        <v>100</v>
      </c>
      <c r="B29" s="56">
        <v>2600000</v>
      </c>
      <c r="C29" s="56">
        <v>4000000</v>
      </c>
      <c r="D29" s="56">
        <f>0.85*C29</f>
        <v>3400000</v>
      </c>
    </row>
    <row r="30" spans="1:8" x14ac:dyDescent="0.2">
      <c r="A30" s="21" t="s">
        <v>48</v>
      </c>
      <c r="B30" s="56">
        <v>972000</v>
      </c>
      <c r="C30" s="56">
        <v>1032000</v>
      </c>
      <c r="D30" s="56">
        <f>0.85*C30</f>
        <v>877200</v>
      </c>
      <c r="E30"/>
      <c r="F30"/>
      <c r="G30"/>
    </row>
    <row r="31" spans="1:8" x14ac:dyDescent="0.2">
      <c r="A31" s="21"/>
      <c r="B31" s="58">
        <v>35826000</v>
      </c>
      <c r="C31" s="58">
        <f>SUM(C27:C30)</f>
        <v>24917701</v>
      </c>
      <c r="D31" s="58">
        <f>SUM(D27:D30)</f>
        <v>21180045.849999998</v>
      </c>
      <c r="E31"/>
      <c r="F31"/>
      <c r="G31"/>
    </row>
    <row r="32" spans="1:8" x14ac:dyDescent="0.2">
      <c r="E32"/>
      <c r="F32"/>
      <c r="G32"/>
    </row>
    <row r="33" customFormat="1" x14ac:dyDescent="0.2"/>
    <row r="34" customFormat="1" x14ac:dyDescent="0.2"/>
    <row r="35" customFormat="1" x14ac:dyDescent="0.2"/>
    <row r="36" customFormat="1" x14ac:dyDescent="0.2"/>
    <row r="37" customFormat="1" x14ac:dyDescent="0.2"/>
    <row r="38" customFormat="1" x14ac:dyDescent="0.2"/>
    <row r="39" customFormat="1" x14ac:dyDescent="0.2"/>
    <row r="67" spans="1:8" ht="15" x14ac:dyDescent="0.25">
      <c r="A67" s="1" t="s">
        <v>227</v>
      </c>
      <c r="B67" s="1"/>
      <c r="C67" s="2"/>
      <c r="D67" s="2"/>
      <c r="E67" s="2"/>
      <c r="F67" s="3"/>
      <c r="G67" s="3"/>
      <c r="H67" s="2"/>
    </row>
    <row r="68" spans="1:8" ht="15" x14ac:dyDescent="0.25">
      <c r="A68" s="1"/>
      <c r="B68" s="2"/>
      <c r="C68" s="2"/>
      <c r="D68" s="2"/>
      <c r="E68" s="3"/>
      <c r="F68" s="3"/>
      <c r="G68" s="2"/>
    </row>
    <row r="69" spans="1:8" ht="15" x14ac:dyDescent="0.25">
      <c r="A69" s="4"/>
      <c r="B69" s="33" t="s">
        <v>0</v>
      </c>
      <c r="C69" s="33" t="s">
        <v>1</v>
      </c>
      <c r="D69" s="33" t="s">
        <v>2</v>
      </c>
      <c r="E69" s="33" t="s">
        <v>3</v>
      </c>
      <c r="F69" s="33" t="s">
        <v>56</v>
      </c>
      <c r="G69" s="33" t="s">
        <v>4</v>
      </c>
    </row>
    <row r="70" spans="1:8" ht="15.75" thickBot="1" x14ac:dyDescent="0.3">
      <c r="A70" s="11"/>
      <c r="B70" s="35" t="s">
        <v>6</v>
      </c>
      <c r="C70" s="34" t="s">
        <v>6</v>
      </c>
      <c r="D70" s="34" t="s">
        <v>6</v>
      </c>
      <c r="E70" s="34" t="s">
        <v>6</v>
      </c>
      <c r="F70" s="34" t="s">
        <v>6</v>
      </c>
      <c r="G70" s="34" t="s">
        <v>6</v>
      </c>
    </row>
    <row r="71" spans="1:8" ht="15" x14ac:dyDescent="0.25">
      <c r="A71" s="37" t="s">
        <v>96</v>
      </c>
      <c r="B71" s="46"/>
      <c r="C71" s="45"/>
      <c r="D71" s="45"/>
      <c r="E71" s="45"/>
      <c r="F71" s="45"/>
      <c r="G71" s="47"/>
    </row>
    <row r="72" spans="1:8" ht="15" x14ac:dyDescent="0.25">
      <c r="A72" s="86" t="s">
        <v>240</v>
      </c>
      <c r="B72" s="51">
        <v>6278000</v>
      </c>
      <c r="C72" s="50">
        <v>4000000</v>
      </c>
      <c r="D72" s="50">
        <v>4000000</v>
      </c>
      <c r="E72" s="50">
        <v>4000000</v>
      </c>
      <c r="F72" s="50">
        <v>4000000</v>
      </c>
      <c r="G72" s="49">
        <f>SUM(B72:F72)</f>
        <v>22278000</v>
      </c>
    </row>
    <row r="73" spans="1:8" ht="15" x14ac:dyDescent="0.25">
      <c r="A73" s="86" t="s">
        <v>238</v>
      </c>
      <c r="B73" s="51">
        <v>200000</v>
      </c>
      <c r="C73" s="50">
        <v>3900000</v>
      </c>
      <c r="D73" s="50">
        <v>3900000</v>
      </c>
      <c r="E73" s="50">
        <v>3800000</v>
      </c>
      <c r="F73" s="50">
        <v>1300000</v>
      </c>
      <c r="G73" s="49">
        <f>SUM(B73:F73)</f>
        <v>13100000</v>
      </c>
      <c r="H73" s="87"/>
    </row>
    <row r="74" spans="1:8" ht="15" x14ac:dyDescent="0.25">
      <c r="A74" s="40" t="s">
        <v>97</v>
      </c>
      <c r="B74" s="36">
        <f>SUM(B72:B73)</f>
        <v>6478000</v>
      </c>
      <c r="C74" s="36">
        <f t="shared" ref="C74:G74" si="3">SUM(C72:C73)</f>
        <v>7900000</v>
      </c>
      <c r="D74" s="36">
        <f t="shared" si="3"/>
        <v>7900000</v>
      </c>
      <c r="E74" s="36">
        <f t="shared" si="3"/>
        <v>7800000</v>
      </c>
      <c r="F74" s="36">
        <f t="shared" si="3"/>
        <v>5300000</v>
      </c>
      <c r="G74" s="36">
        <f t="shared" si="3"/>
        <v>35378000</v>
      </c>
    </row>
    <row r="75" spans="1:8" ht="15" x14ac:dyDescent="0.25">
      <c r="A75" s="39"/>
      <c r="B75" s="51"/>
      <c r="C75" s="50"/>
      <c r="D75" s="50"/>
      <c r="E75" s="50"/>
      <c r="F75" s="50"/>
      <c r="G75" s="49"/>
    </row>
    <row r="76" spans="1:8" ht="15" x14ac:dyDescent="0.25">
      <c r="A76" s="38" t="s">
        <v>34</v>
      </c>
      <c r="B76" s="51"/>
      <c r="C76" s="50"/>
      <c r="D76" s="50"/>
      <c r="E76" s="50"/>
      <c r="F76" s="50"/>
      <c r="G76" s="49"/>
    </row>
    <row r="77" spans="1:8" ht="15" x14ac:dyDescent="0.25">
      <c r="A77" s="41" t="s">
        <v>93</v>
      </c>
      <c r="B77" s="51">
        <v>6600000</v>
      </c>
      <c r="C77" s="50">
        <v>0</v>
      </c>
      <c r="D77" s="50">
        <v>0</v>
      </c>
      <c r="E77" s="50">
        <v>0</v>
      </c>
      <c r="F77" s="50">
        <v>0</v>
      </c>
      <c r="G77" s="49">
        <f t="shared" ref="G77:G85" si="4">SUM(B77:F77)</f>
        <v>6600000</v>
      </c>
    </row>
    <row r="78" spans="1:8" ht="15" x14ac:dyDescent="0.25">
      <c r="A78" s="41" t="s">
        <v>99</v>
      </c>
      <c r="B78" s="51"/>
      <c r="C78" s="50"/>
      <c r="D78" s="50"/>
      <c r="E78" s="50"/>
      <c r="F78" s="50"/>
      <c r="G78" s="49">
        <f t="shared" si="4"/>
        <v>0</v>
      </c>
    </row>
    <row r="79" spans="1:8" ht="15" x14ac:dyDescent="0.25">
      <c r="A79" s="88" t="s">
        <v>35</v>
      </c>
      <c r="B79" s="51">
        <v>7150000</v>
      </c>
      <c r="C79" s="50">
        <v>7000000</v>
      </c>
      <c r="D79" s="50">
        <v>1521000</v>
      </c>
      <c r="E79" s="50">
        <v>0</v>
      </c>
      <c r="F79" s="50">
        <v>0</v>
      </c>
      <c r="G79" s="49">
        <f t="shared" si="4"/>
        <v>15671000</v>
      </c>
    </row>
    <row r="80" spans="1:8" ht="15" x14ac:dyDescent="0.25">
      <c r="A80" s="88" t="s">
        <v>44</v>
      </c>
      <c r="B80" s="51">
        <f>'FINAL 21-22'!E111</f>
        <v>1329000</v>
      </c>
      <c r="C80" s="50">
        <f>'FINAL 21-22'!F111</f>
        <v>4300000</v>
      </c>
      <c r="D80" s="50">
        <f>'FINAL 21-22'!G111</f>
        <v>4800000</v>
      </c>
      <c r="E80" s="50">
        <f>'FINAL 21-22'!H111</f>
        <v>5651000</v>
      </c>
      <c r="F80" s="50">
        <f>'FINAL 21-22'!I111</f>
        <v>0</v>
      </c>
      <c r="G80" s="49">
        <f t="shared" si="4"/>
        <v>16080000</v>
      </c>
    </row>
    <row r="81" spans="1:7" ht="15" x14ac:dyDescent="0.25">
      <c r="A81" s="88" t="s">
        <v>36</v>
      </c>
      <c r="B81" s="51">
        <f>SUM('FINAL 21-22'!E92:E95)</f>
        <v>825290</v>
      </c>
      <c r="C81" s="50">
        <f>SUM('FINAL 21-22'!F92:F95)</f>
        <v>2582700</v>
      </c>
      <c r="D81" s="50">
        <f>SUM('FINAL 21-22'!G92:G95)</f>
        <v>3842409</v>
      </c>
      <c r="E81" s="50">
        <f>SUM('FINAL 21-22'!H92:H95)</f>
        <v>2408599</v>
      </c>
      <c r="F81" s="50">
        <f>SUM('FINAL 21-22'!I92:I95)</f>
        <v>0</v>
      </c>
      <c r="G81" s="49">
        <f t="shared" si="4"/>
        <v>9658998</v>
      </c>
    </row>
    <row r="82" spans="1:7" ht="15" x14ac:dyDescent="0.25">
      <c r="A82" s="88" t="s">
        <v>37</v>
      </c>
      <c r="B82" s="51">
        <f>SUM('FINAL 21-22'!B97:E105)+'FINAL 21-22'!B110</f>
        <v>7179284</v>
      </c>
      <c r="C82" s="50">
        <f>SUM('FINAL 21-22'!F97:F105)</f>
        <v>9575300</v>
      </c>
      <c r="D82" s="50">
        <f>SUM('FINAL 21-22'!G97:G105)</f>
        <v>19384820</v>
      </c>
      <c r="E82" s="50">
        <f>SUM('FINAL 21-22'!H97:H105)</f>
        <v>13910146</v>
      </c>
      <c r="F82" s="50">
        <f>SUM('FINAL 21-22'!I97:I105)</f>
        <v>3000000</v>
      </c>
      <c r="G82" s="49">
        <f t="shared" si="4"/>
        <v>53049550</v>
      </c>
    </row>
    <row r="83" spans="1:7" ht="15" x14ac:dyDescent="0.25">
      <c r="A83" s="88" t="s">
        <v>92</v>
      </c>
      <c r="B83" s="51">
        <v>0</v>
      </c>
      <c r="C83" s="50">
        <f>'FINAL 21-22'!F113+'FINAL 21-22'!F114</f>
        <v>5742000</v>
      </c>
      <c r="D83" s="50">
        <f>'FINAL 21-22'!G113+'FINAL 21-22'!G114</f>
        <v>5800000</v>
      </c>
      <c r="E83" s="50">
        <f>'FINAL 21-22'!H113+'FINAL 21-22'!H114</f>
        <v>6582000</v>
      </c>
      <c r="F83" s="50">
        <f>'FINAL 21-22'!I113+'FINAL 21-22'!I114</f>
        <v>8000000</v>
      </c>
      <c r="G83" s="49">
        <f t="shared" si="4"/>
        <v>26124000</v>
      </c>
    </row>
    <row r="84" spans="1:7" ht="15" x14ac:dyDescent="0.25">
      <c r="A84" s="88" t="s">
        <v>239</v>
      </c>
      <c r="B84" s="51">
        <f>25283000-B85-SUM(B77:B82)</f>
        <v>365828</v>
      </c>
      <c r="C84" s="50">
        <f>29199671-SUM(C79:C83)</f>
        <v>-329</v>
      </c>
      <c r="D84" s="50">
        <f>35348229-SUM(D79:D83)</f>
        <v>0</v>
      </c>
      <c r="E84" s="50">
        <f>29761745-SUM(E79:E83)</f>
        <v>1210000</v>
      </c>
      <c r="F84" s="50">
        <f>14540000-SUM(F79:F83)</f>
        <v>3540000</v>
      </c>
      <c r="G84" s="49">
        <f t="shared" si="4"/>
        <v>5115499</v>
      </c>
    </row>
    <row r="85" spans="1:7" ht="15" x14ac:dyDescent="0.25">
      <c r="A85" s="41" t="s">
        <v>98</v>
      </c>
      <c r="B85" s="51">
        <f>SUM(B16:C16)</f>
        <v>1833598</v>
      </c>
      <c r="C85" s="50">
        <v>1000000</v>
      </c>
      <c r="D85" s="50">
        <v>1000000</v>
      </c>
      <c r="E85" s="50">
        <v>1000000</v>
      </c>
      <c r="F85" s="50">
        <v>1000000</v>
      </c>
      <c r="G85" s="49">
        <f t="shared" si="4"/>
        <v>5833598</v>
      </c>
    </row>
    <row r="86" spans="1:7" ht="15" x14ac:dyDescent="0.25">
      <c r="A86" s="40" t="s">
        <v>46</v>
      </c>
      <c r="B86" s="36">
        <f>SUM(B77:B85)</f>
        <v>25283000</v>
      </c>
      <c r="C86" s="36">
        <v>30199671</v>
      </c>
      <c r="D86" s="36">
        <v>36348229</v>
      </c>
      <c r="E86" s="36">
        <v>30761745</v>
      </c>
      <c r="F86" s="36">
        <v>15540000</v>
      </c>
      <c r="G86" s="36">
        <v>130993086</v>
      </c>
    </row>
    <row r="87" spans="1:7" ht="15" x14ac:dyDescent="0.25">
      <c r="A87" s="39"/>
      <c r="B87" s="36"/>
      <c r="C87" s="48"/>
      <c r="D87" s="48"/>
      <c r="E87" s="50"/>
      <c r="F87" s="50"/>
      <c r="G87" s="49"/>
    </row>
    <row r="88" spans="1:7" ht="15" x14ac:dyDescent="0.25">
      <c r="A88" s="40" t="s">
        <v>100</v>
      </c>
      <c r="B88" s="36">
        <v>4355000</v>
      </c>
      <c r="C88" s="36">
        <v>4000000</v>
      </c>
      <c r="D88" s="36">
        <v>4000000</v>
      </c>
      <c r="E88" s="36">
        <v>4000000</v>
      </c>
      <c r="F88" s="36">
        <v>4000000</v>
      </c>
      <c r="G88" s="43">
        <f>SUM(B88:F88)</f>
        <v>20355000</v>
      </c>
    </row>
    <row r="89" spans="1:7" ht="15" x14ac:dyDescent="0.25">
      <c r="A89" s="38"/>
      <c r="B89" s="51"/>
      <c r="C89" s="50"/>
      <c r="D89" s="50"/>
      <c r="E89" s="50"/>
      <c r="F89" s="50"/>
      <c r="G89" s="49"/>
    </row>
    <row r="90" spans="1:7" ht="15" x14ac:dyDescent="0.25">
      <c r="A90" s="40" t="s">
        <v>52</v>
      </c>
      <c r="B90" s="36">
        <v>831000</v>
      </c>
      <c r="C90" s="36">
        <v>600000</v>
      </c>
      <c r="D90" s="36">
        <v>600000</v>
      </c>
      <c r="E90" s="36">
        <v>600000</v>
      </c>
      <c r="F90" s="36">
        <v>600000</v>
      </c>
      <c r="G90" s="43">
        <f>SUM(B90:F90)</f>
        <v>3231000</v>
      </c>
    </row>
    <row r="91" spans="1:7" ht="15" x14ac:dyDescent="0.25">
      <c r="A91" s="38"/>
      <c r="B91" s="51"/>
      <c r="C91" s="50"/>
      <c r="D91" s="50"/>
      <c r="E91" s="50"/>
      <c r="F91" s="50"/>
      <c r="G91" s="49"/>
    </row>
    <row r="92" spans="1:7" ht="15.75" thickBot="1" x14ac:dyDescent="0.3">
      <c r="A92" s="44" t="s">
        <v>53</v>
      </c>
      <c r="B92" s="52">
        <f t="shared" ref="B92:G92" si="5">B90+B88+B86+B74</f>
        <v>36947000</v>
      </c>
      <c r="C92" s="52">
        <f t="shared" si="5"/>
        <v>42699671</v>
      </c>
      <c r="D92" s="52">
        <f t="shared" si="5"/>
        <v>48848229</v>
      </c>
      <c r="E92" s="52">
        <f t="shared" si="5"/>
        <v>43161745</v>
      </c>
      <c r="F92" s="52">
        <f t="shared" si="5"/>
        <v>25440000</v>
      </c>
      <c r="G92" s="52">
        <f t="shared" si="5"/>
        <v>189957086</v>
      </c>
    </row>
  </sheetData>
  <sheetProtection algorithmName="SHA-512" hashValue="vRp06FDjKSR6ELPbz0pXiZtRh2bwGIzvCDB0br5MsldnKUUlvT0vaCyiIgdGUDxK8RDsfHXq6hXS0o8+Zu2ymQ==" saltValue="qJzF13XD4NKurx2L3KjGvg==" spinCount="100000" sheet="1" objects="1" scenarios="1" selectLockedCells="1" selectUnlockedCells="1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D34AE-DBC6-4DD5-AE83-9FC373931FAF}">
  <sheetPr>
    <pageSetUpPr fitToPage="1"/>
  </sheetPr>
  <dimension ref="A1:Y151"/>
  <sheetViews>
    <sheetView workbookViewId="0">
      <pane xSplit="1" ySplit="5" topLeftCell="B106" activePane="bottomRight" state="frozenSplit"/>
      <selection pane="topRight" activeCell="F1" sqref="F1"/>
      <selection pane="bottomLeft" activeCell="A12" sqref="A12"/>
      <selection pane="bottomRight" activeCell="A114" sqref="A114:XFD114"/>
    </sheetView>
  </sheetViews>
  <sheetFormatPr defaultRowHeight="12.75" x14ac:dyDescent="0.2"/>
  <cols>
    <col min="1" max="1" width="47.28515625" bestFit="1" customWidth="1"/>
    <col min="2" max="12" width="12.28515625" style="60" customWidth="1"/>
    <col min="14" max="14" width="27" bestFit="1" customWidth="1"/>
  </cols>
  <sheetData>
    <row r="1" spans="1:25" x14ac:dyDescent="0.2">
      <c r="A1" s="55" t="s">
        <v>113</v>
      </c>
    </row>
    <row r="4" spans="1:25" ht="25.5" x14ac:dyDescent="0.2">
      <c r="B4" s="61" t="s">
        <v>152</v>
      </c>
      <c r="C4" s="61" t="s">
        <v>153</v>
      </c>
      <c r="D4" s="61" t="s">
        <v>154</v>
      </c>
      <c r="E4" s="62" t="s">
        <v>155</v>
      </c>
      <c r="F4" s="62" t="s">
        <v>156</v>
      </c>
      <c r="G4" s="62" t="s">
        <v>157</v>
      </c>
      <c r="H4" s="62" t="s">
        <v>114</v>
      </c>
      <c r="I4" s="62" t="s">
        <v>115</v>
      </c>
      <c r="J4" s="62" t="s">
        <v>4</v>
      </c>
      <c r="K4" s="62" t="s">
        <v>116</v>
      </c>
      <c r="L4" s="62"/>
    </row>
    <row r="5" spans="1:25" x14ac:dyDescent="0.2">
      <c r="B5" s="60" t="s">
        <v>117</v>
      </c>
      <c r="C5" s="60" t="s">
        <v>117</v>
      </c>
      <c r="D5" s="60" t="s">
        <v>117</v>
      </c>
      <c r="E5" s="60" t="s">
        <v>117</v>
      </c>
      <c r="F5" s="60" t="s">
        <v>117</v>
      </c>
      <c r="G5" s="60" t="s">
        <v>117</v>
      </c>
      <c r="H5" s="60" t="s">
        <v>117</v>
      </c>
      <c r="I5" s="60" t="s">
        <v>117</v>
      </c>
      <c r="J5" s="60" t="s">
        <v>117</v>
      </c>
      <c r="K5" s="60" t="s">
        <v>117</v>
      </c>
    </row>
    <row r="6" spans="1:25" x14ac:dyDescent="0.2">
      <c r="A6" t="s">
        <v>118</v>
      </c>
      <c r="B6" s="60">
        <v>0</v>
      </c>
      <c r="C6" s="60">
        <v>14783</v>
      </c>
      <c r="D6" s="60">
        <v>616</v>
      </c>
      <c r="E6" s="60">
        <v>174</v>
      </c>
      <c r="G6" s="60">
        <v>34</v>
      </c>
      <c r="J6" s="60">
        <v>15607</v>
      </c>
    </row>
    <row r="8" spans="1:25" x14ac:dyDescent="0.2">
      <c r="A8" s="72" t="s">
        <v>119</v>
      </c>
      <c r="B8" s="73"/>
      <c r="C8" s="73"/>
      <c r="D8" s="73"/>
      <c r="E8" s="73"/>
      <c r="F8" s="73"/>
      <c r="G8" s="73"/>
      <c r="H8" s="73"/>
      <c r="I8" s="73"/>
      <c r="J8" s="73">
        <v>0</v>
      </c>
      <c r="K8" s="73"/>
      <c r="L8" s="73"/>
    </row>
    <row r="9" spans="1:25" x14ac:dyDescent="0.2">
      <c r="A9" s="74" t="s">
        <v>120</v>
      </c>
      <c r="B9" s="75">
        <v>1710</v>
      </c>
      <c r="C9" s="76"/>
      <c r="D9" s="76"/>
      <c r="E9" s="76"/>
      <c r="F9" s="76"/>
      <c r="G9" s="75"/>
      <c r="H9" s="75"/>
      <c r="I9" s="75"/>
      <c r="J9" s="77">
        <f>SUM(B9:I9)</f>
        <v>1710</v>
      </c>
      <c r="K9" s="78"/>
      <c r="L9" s="78"/>
      <c r="M9" s="70"/>
      <c r="N9" s="70"/>
      <c r="O9" s="70"/>
      <c r="P9" s="70"/>
      <c r="Q9" s="70"/>
      <c r="R9" s="70"/>
      <c r="S9" s="70"/>
      <c r="T9" s="70"/>
      <c r="U9" s="70"/>
      <c r="V9" s="70"/>
      <c r="W9" s="70"/>
      <c r="X9" s="19"/>
      <c r="Y9" s="70"/>
    </row>
    <row r="10" spans="1:25" x14ac:dyDescent="0.2">
      <c r="A10" s="74" t="s">
        <v>121</v>
      </c>
      <c r="B10" s="75"/>
      <c r="C10" s="76"/>
      <c r="D10" s="76"/>
      <c r="E10" s="75">
        <v>1121</v>
      </c>
      <c r="F10" s="76"/>
      <c r="G10" s="75"/>
      <c r="H10" s="75"/>
      <c r="I10" s="75"/>
      <c r="J10" s="77">
        <f t="shared" ref="J10:J44" si="0">SUM(B10:I10)</f>
        <v>1121</v>
      </c>
      <c r="K10" s="78"/>
      <c r="L10" s="78"/>
      <c r="N10" s="70"/>
      <c r="O10" s="70"/>
      <c r="P10" s="70"/>
      <c r="Q10" s="70"/>
      <c r="R10" s="70"/>
      <c r="T10" s="70"/>
      <c r="U10" s="70"/>
      <c r="V10" s="70"/>
      <c r="W10" s="70"/>
      <c r="X10" s="19"/>
      <c r="Y10" s="70"/>
    </row>
    <row r="11" spans="1:25" x14ac:dyDescent="0.2">
      <c r="A11" s="74" t="s">
        <v>122</v>
      </c>
      <c r="B11" s="75"/>
      <c r="C11" s="76"/>
      <c r="D11" s="75">
        <v>127</v>
      </c>
      <c r="E11" s="75"/>
      <c r="F11" s="76"/>
      <c r="G11" s="75"/>
      <c r="H11" s="75"/>
      <c r="I11" s="75"/>
      <c r="J11" s="77">
        <f t="shared" si="0"/>
        <v>127</v>
      </c>
      <c r="K11" s="78"/>
      <c r="L11" s="78"/>
      <c r="N11" s="70"/>
      <c r="O11" s="70"/>
      <c r="P11" s="70"/>
      <c r="Q11" s="70"/>
      <c r="R11" s="70"/>
      <c r="T11" s="70"/>
      <c r="U11" s="70"/>
      <c r="V11" s="70"/>
      <c r="W11" s="70"/>
      <c r="X11" s="19"/>
      <c r="Y11" s="70"/>
    </row>
    <row r="12" spans="1:25" x14ac:dyDescent="0.2">
      <c r="A12" s="74" t="s">
        <v>123</v>
      </c>
      <c r="B12" s="75"/>
      <c r="C12" s="76"/>
      <c r="D12" s="76"/>
      <c r="E12" s="75">
        <v>422</v>
      </c>
      <c r="F12" s="76"/>
      <c r="G12" s="75"/>
      <c r="H12" s="75"/>
      <c r="I12" s="75"/>
      <c r="J12" s="77">
        <f t="shared" si="0"/>
        <v>422</v>
      </c>
      <c r="K12" s="78"/>
      <c r="L12" s="78"/>
      <c r="N12" s="70"/>
      <c r="O12" s="70"/>
      <c r="P12" s="70"/>
      <c r="Q12" s="70"/>
      <c r="R12" s="70"/>
      <c r="T12" s="70"/>
      <c r="U12" s="70"/>
      <c r="V12" s="70"/>
      <c r="W12" s="70"/>
      <c r="X12" s="19"/>
      <c r="Y12" s="70"/>
    </row>
    <row r="13" spans="1:25" x14ac:dyDescent="0.2">
      <c r="A13" s="74" t="s">
        <v>124</v>
      </c>
      <c r="B13" s="75"/>
      <c r="C13" s="76"/>
      <c r="D13" s="76"/>
      <c r="E13" s="77">
        <v>69</v>
      </c>
      <c r="F13" s="76"/>
      <c r="G13" s="75"/>
      <c r="H13" s="75"/>
      <c r="I13" s="75"/>
      <c r="J13" s="77">
        <f t="shared" si="0"/>
        <v>69</v>
      </c>
      <c r="K13" s="78"/>
      <c r="L13" s="78"/>
      <c r="N13" s="70"/>
      <c r="O13" s="70"/>
      <c r="P13" s="70"/>
      <c r="Q13" s="70"/>
      <c r="R13" s="70"/>
      <c r="T13" s="70"/>
      <c r="U13" s="70"/>
      <c r="V13" s="70"/>
      <c r="W13" s="70"/>
      <c r="X13" s="19"/>
      <c r="Y13" s="70"/>
    </row>
    <row r="14" spans="1:25" x14ac:dyDescent="0.2">
      <c r="A14" s="74" t="s">
        <v>125</v>
      </c>
      <c r="B14" s="75">
        <v>227</v>
      </c>
      <c r="C14" s="76"/>
      <c r="D14" s="76"/>
      <c r="E14" s="75"/>
      <c r="F14" s="76"/>
      <c r="G14" s="75"/>
      <c r="H14" s="75"/>
      <c r="I14" s="75"/>
      <c r="J14" s="77">
        <f t="shared" si="0"/>
        <v>227</v>
      </c>
      <c r="K14" s="78"/>
      <c r="L14" s="78"/>
      <c r="N14" s="70"/>
      <c r="O14" s="70"/>
      <c r="P14" s="70"/>
      <c r="Q14" s="70"/>
      <c r="R14" s="70"/>
      <c r="T14" s="70"/>
      <c r="U14" s="70"/>
      <c r="V14" s="70"/>
      <c r="W14" s="70"/>
      <c r="X14" s="19"/>
      <c r="Y14" s="70"/>
    </row>
    <row r="15" spans="1:25" x14ac:dyDescent="0.2">
      <c r="A15" s="74" t="s">
        <v>126</v>
      </c>
      <c r="B15" s="75"/>
      <c r="C15" s="76"/>
      <c r="D15" s="76"/>
      <c r="E15" s="77">
        <v>51</v>
      </c>
      <c r="F15" s="76"/>
      <c r="G15" s="75"/>
      <c r="H15" s="75"/>
      <c r="I15" s="75"/>
      <c r="J15" s="77">
        <f t="shared" si="0"/>
        <v>51</v>
      </c>
      <c r="K15" s="78"/>
      <c r="L15" s="78"/>
      <c r="N15" s="70"/>
      <c r="O15" s="70"/>
      <c r="P15" s="70"/>
      <c r="Q15" s="70"/>
      <c r="R15" s="70"/>
      <c r="T15" s="70"/>
      <c r="U15" s="70"/>
      <c r="V15" s="70"/>
      <c r="W15" s="70"/>
      <c r="X15" s="19"/>
      <c r="Y15" s="70"/>
    </row>
    <row r="16" spans="1:25" x14ac:dyDescent="0.2">
      <c r="A16" s="74" t="s">
        <v>142</v>
      </c>
      <c r="B16" s="75"/>
      <c r="C16" s="76"/>
      <c r="D16" s="76"/>
      <c r="E16" s="75">
        <v>5</v>
      </c>
      <c r="F16" s="76"/>
      <c r="G16" s="75"/>
      <c r="H16" s="75"/>
      <c r="I16" s="75"/>
      <c r="J16" s="77">
        <f t="shared" si="0"/>
        <v>5</v>
      </c>
      <c r="K16" s="78"/>
      <c r="L16" s="78"/>
      <c r="N16" s="70"/>
      <c r="O16" s="70"/>
      <c r="P16" s="70"/>
      <c r="Q16" s="70"/>
      <c r="R16" s="70"/>
      <c r="T16" s="70"/>
      <c r="U16" s="70"/>
      <c r="V16" s="70"/>
      <c r="W16" s="70"/>
      <c r="X16" s="19"/>
      <c r="Y16" s="70"/>
    </row>
    <row r="17" spans="1:25" x14ac:dyDescent="0.2">
      <c r="A17" s="74" t="s">
        <v>214</v>
      </c>
      <c r="B17" s="75"/>
      <c r="C17" s="76"/>
      <c r="D17" s="76"/>
      <c r="E17" s="75"/>
      <c r="F17" s="76"/>
      <c r="G17" s="75"/>
      <c r="H17" s="75">
        <v>40</v>
      </c>
      <c r="I17" s="75"/>
      <c r="J17" s="77">
        <f t="shared" si="0"/>
        <v>40</v>
      </c>
      <c r="K17" s="78"/>
      <c r="L17" s="78"/>
      <c r="N17" s="70"/>
      <c r="O17" s="70"/>
      <c r="P17" s="70"/>
      <c r="Q17" s="70"/>
      <c r="R17" s="70"/>
      <c r="T17" s="70"/>
      <c r="U17" s="70"/>
      <c r="V17" s="70"/>
      <c r="W17" s="70"/>
      <c r="X17" s="19"/>
      <c r="Y17" s="70"/>
    </row>
    <row r="18" spans="1:25" x14ac:dyDescent="0.2">
      <c r="A18" s="74" t="s">
        <v>127</v>
      </c>
      <c r="B18" s="75">
        <v>30</v>
      </c>
      <c r="C18" s="76"/>
      <c r="D18" s="76"/>
      <c r="E18" s="75"/>
      <c r="F18" s="76"/>
      <c r="G18" s="75"/>
      <c r="H18" s="75"/>
      <c r="I18" s="75"/>
      <c r="J18" s="77">
        <f t="shared" si="0"/>
        <v>30</v>
      </c>
      <c r="K18" s="78"/>
      <c r="L18" s="78"/>
      <c r="N18" s="70"/>
      <c r="O18" s="70"/>
      <c r="P18" s="70"/>
      <c r="Q18" s="70"/>
      <c r="R18" s="70"/>
      <c r="T18" s="70"/>
      <c r="U18" s="70"/>
      <c r="V18" s="70"/>
      <c r="W18" s="70"/>
      <c r="X18" s="19"/>
      <c r="Y18" s="70"/>
    </row>
    <row r="19" spans="1:25" x14ac:dyDescent="0.2">
      <c r="A19" s="74" t="s">
        <v>128</v>
      </c>
      <c r="B19" s="75">
        <v>152</v>
      </c>
      <c r="C19" s="76"/>
      <c r="D19" s="76"/>
      <c r="E19" s="75"/>
      <c r="F19" s="76"/>
      <c r="G19" s="75"/>
      <c r="H19" s="75"/>
      <c r="I19" s="75"/>
      <c r="J19" s="77">
        <f t="shared" si="0"/>
        <v>152</v>
      </c>
      <c r="K19" s="78"/>
      <c r="L19" s="78"/>
      <c r="N19" s="70"/>
      <c r="O19" s="70"/>
      <c r="P19" s="70"/>
      <c r="Q19" s="70"/>
      <c r="R19" s="70"/>
      <c r="T19" s="70"/>
      <c r="U19" s="70"/>
      <c r="V19" s="70"/>
      <c r="W19" s="70"/>
      <c r="X19" s="19"/>
      <c r="Y19" s="70"/>
    </row>
    <row r="20" spans="1:25" x14ac:dyDescent="0.2">
      <c r="A20" s="74" t="s">
        <v>129</v>
      </c>
      <c r="B20" s="75"/>
      <c r="C20" s="76"/>
      <c r="D20" s="76"/>
      <c r="E20" s="75"/>
      <c r="F20" s="76"/>
      <c r="G20" s="75"/>
      <c r="H20" s="75"/>
      <c r="I20" s="75"/>
      <c r="J20" s="77">
        <f t="shared" si="0"/>
        <v>0</v>
      </c>
      <c r="K20" s="78">
        <v>217</v>
      </c>
      <c r="L20" s="78"/>
      <c r="N20" s="70"/>
      <c r="O20" s="70"/>
      <c r="P20" s="70"/>
      <c r="Q20" s="70"/>
      <c r="R20" s="70"/>
      <c r="T20" s="70"/>
      <c r="U20" s="70"/>
      <c r="V20" s="70"/>
      <c r="W20" s="70"/>
      <c r="X20" s="19"/>
      <c r="Y20" s="70"/>
    </row>
    <row r="21" spans="1:25" x14ac:dyDescent="0.2">
      <c r="A21" s="79" t="s">
        <v>130</v>
      </c>
      <c r="B21" s="75"/>
      <c r="C21" s="76"/>
      <c r="D21" s="76"/>
      <c r="E21" s="75"/>
      <c r="F21" s="76"/>
      <c r="G21" s="75"/>
      <c r="H21" s="75">
        <v>20</v>
      </c>
      <c r="I21" s="75"/>
      <c r="J21" s="77">
        <f t="shared" si="0"/>
        <v>20</v>
      </c>
      <c r="K21" s="78"/>
      <c r="L21" s="78"/>
      <c r="N21" s="70"/>
      <c r="O21" s="70"/>
      <c r="P21" s="70"/>
      <c r="Q21" s="70"/>
      <c r="R21" s="70"/>
      <c r="T21" s="70"/>
      <c r="U21" s="70"/>
      <c r="V21" s="70"/>
      <c r="W21" s="70"/>
      <c r="X21" s="19"/>
      <c r="Y21" s="70"/>
    </row>
    <row r="22" spans="1:25" x14ac:dyDescent="0.2">
      <c r="A22" s="79" t="s">
        <v>131</v>
      </c>
      <c r="B22" s="75">
        <v>19</v>
      </c>
      <c r="C22" s="76"/>
      <c r="D22" s="76"/>
      <c r="E22" s="75"/>
      <c r="F22" s="76"/>
      <c r="G22" s="75"/>
      <c r="H22" s="75"/>
      <c r="I22" s="75"/>
      <c r="J22" s="77">
        <f t="shared" si="0"/>
        <v>19</v>
      </c>
      <c r="K22" s="78"/>
      <c r="L22" s="78"/>
      <c r="N22" s="70"/>
      <c r="O22" s="70"/>
      <c r="P22" s="70"/>
      <c r="Q22" s="70"/>
      <c r="R22" s="70"/>
      <c r="T22" s="70"/>
      <c r="U22" s="70"/>
      <c r="V22" s="70"/>
      <c r="W22" s="70"/>
      <c r="X22" s="19"/>
      <c r="Y22" s="70"/>
    </row>
    <row r="23" spans="1:25" x14ac:dyDescent="0.2">
      <c r="A23" s="79" t="s">
        <v>132</v>
      </c>
      <c r="B23" s="75">
        <v>36</v>
      </c>
      <c r="C23" s="76"/>
      <c r="D23" s="76"/>
      <c r="E23" s="75"/>
      <c r="F23" s="76"/>
      <c r="G23" s="75"/>
      <c r="H23" s="75"/>
      <c r="I23" s="75"/>
      <c r="J23" s="77">
        <f t="shared" si="0"/>
        <v>36</v>
      </c>
      <c r="K23" s="78"/>
      <c r="L23" s="78"/>
      <c r="N23" s="70"/>
      <c r="O23" s="70"/>
      <c r="P23" s="70"/>
      <c r="Q23" s="70"/>
      <c r="R23" s="70"/>
      <c r="T23" s="70"/>
      <c r="U23" s="70"/>
      <c r="V23" s="70"/>
      <c r="W23" s="70"/>
      <c r="X23" s="19"/>
      <c r="Y23" s="70"/>
    </row>
    <row r="24" spans="1:25" x14ac:dyDescent="0.2">
      <c r="A24" s="79" t="s">
        <v>133</v>
      </c>
      <c r="B24" s="75">
        <v>24</v>
      </c>
      <c r="C24" s="76"/>
      <c r="D24" s="76"/>
      <c r="E24" s="75"/>
      <c r="F24" s="76"/>
      <c r="G24" s="75"/>
      <c r="H24" s="75"/>
      <c r="I24" s="75"/>
      <c r="J24" s="77">
        <f t="shared" si="0"/>
        <v>24</v>
      </c>
      <c r="K24" s="78"/>
      <c r="L24" s="78"/>
      <c r="N24" s="70"/>
      <c r="O24" s="70"/>
      <c r="P24" s="70"/>
      <c r="Q24" s="70"/>
      <c r="R24" s="70"/>
      <c r="T24" s="70"/>
      <c r="U24" s="70"/>
      <c r="V24" s="70"/>
      <c r="W24" s="70"/>
      <c r="X24" s="19"/>
      <c r="Y24" s="70"/>
    </row>
    <row r="25" spans="1:25" x14ac:dyDescent="0.2">
      <c r="A25" s="79" t="s">
        <v>134</v>
      </c>
      <c r="B25" s="75">
        <v>1</v>
      </c>
      <c r="C25" s="76"/>
      <c r="D25" s="76"/>
      <c r="E25" s="75"/>
      <c r="F25" s="76"/>
      <c r="G25" s="75"/>
      <c r="H25" s="75"/>
      <c r="I25" s="75"/>
      <c r="J25" s="77">
        <f t="shared" si="0"/>
        <v>1</v>
      </c>
      <c r="K25" s="78"/>
      <c r="L25" s="78"/>
      <c r="N25" s="70"/>
      <c r="O25" s="70"/>
      <c r="P25" s="70"/>
      <c r="Q25" s="70"/>
      <c r="R25" s="70"/>
      <c r="T25" s="70"/>
      <c r="U25" s="70"/>
      <c r="V25" s="70"/>
      <c r="W25" s="70"/>
      <c r="X25" s="19"/>
      <c r="Y25" s="70"/>
    </row>
    <row r="26" spans="1:25" x14ac:dyDescent="0.2">
      <c r="A26" s="79" t="s">
        <v>135</v>
      </c>
      <c r="B26" s="75">
        <v>30</v>
      </c>
      <c r="C26" s="76"/>
      <c r="D26" s="76"/>
      <c r="E26" s="75"/>
      <c r="F26" s="76"/>
      <c r="G26" s="75"/>
      <c r="H26" s="75"/>
      <c r="I26" s="75"/>
      <c r="J26" s="77">
        <f t="shared" si="0"/>
        <v>30</v>
      </c>
      <c r="K26" s="78"/>
      <c r="L26" s="78"/>
      <c r="N26" s="70"/>
      <c r="O26" s="70"/>
      <c r="P26" s="70"/>
      <c r="Q26" s="70"/>
      <c r="R26" s="70"/>
      <c r="T26" s="70"/>
      <c r="U26" s="70"/>
      <c r="V26" s="70"/>
      <c r="W26" s="70"/>
      <c r="X26" s="19"/>
      <c r="Y26" s="70"/>
    </row>
    <row r="27" spans="1:25" x14ac:dyDescent="0.2">
      <c r="A27" s="79" t="s">
        <v>136</v>
      </c>
      <c r="B27" s="76"/>
      <c r="C27" s="76"/>
      <c r="D27" s="76"/>
      <c r="E27" s="75">
        <v>78</v>
      </c>
      <c r="F27" s="75"/>
      <c r="G27" s="75"/>
      <c r="H27" s="75"/>
      <c r="I27" s="75"/>
      <c r="J27" s="77">
        <f t="shared" si="0"/>
        <v>78</v>
      </c>
      <c r="K27" s="78"/>
      <c r="L27" s="78"/>
      <c r="N27" s="70"/>
      <c r="O27" s="70"/>
      <c r="P27" s="70"/>
      <c r="Q27" s="70"/>
      <c r="R27" s="70"/>
      <c r="T27" s="70"/>
      <c r="U27" s="70"/>
      <c r="V27" s="70"/>
      <c r="W27" s="70"/>
      <c r="X27" s="19"/>
      <c r="Y27" s="70"/>
    </row>
    <row r="28" spans="1:25" x14ac:dyDescent="0.2">
      <c r="J28" s="71">
        <f t="shared" si="0"/>
        <v>0</v>
      </c>
    </row>
    <row r="29" spans="1:25" x14ac:dyDescent="0.2">
      <c r="A29" s="72" t="s">
        <v>197</v>
      </c>
      <c r="B29" s="73"/>
      <c r="C29" s="73"/>
      <c r="D29" s="73"/>
      <c r="E29" s="73"/>
      <c r="F29" s="73"/>
      <c r="G29" s="73"/>
      <c r="H29" s="73"/>
      <c r="I29" s="73"/>
      <c r="J29" s="77">
        <f t="shared" si="0"/>
        <v>0</v>
      </c>
      <c r="K29" s="73"/>
      <c r="L29" s="73"/>
    </row>
    <row r="30" spans="1:25" x14ac:dyDescent="0.2">
      <c r="A30" s="74" t="s">
        <v>137</v>
      </c>
      <c r="B30" s="79"/>
      <c r="C30" s="78">
        <v>-1502</v>
      </c>
      <c r="D30" s="79"/>
      <c r="E30" s="79"/>
      <c r="F30" s="78"/>
      <c r="G30" s="78"/>
      <c r="H30" s="73"/>
      <c r="I30" s="78"/>
      <c r="J30" s="77">
        <f t="shared" si="0"/>
        <v>-1502</v>
      </c>
      <c r="K30" s="78"/>
      <c r="L30" s="78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19"/>
      <c r="Y30" s="70"/>
    </row>
    <row r="31" spans="1:25" x14ac:dyDescent="0.2">
      <c r="A31" s="74" t="s">
        <v>138</v>
      </c>
      <c r="B31" s="78">
        <v>-61</v>
      </c>
      <c r="C31" s="78">
        <f>-2451+61</f>
        <v>-2390</v>
      </c>
      <c r="D31" s="79"/>
      <c r="E31" s="79"/>
      <c r="F31" s="73"/>
      <c r="G31" s="78"/>
      <c r="H31" s="73"/>
      <c r="I31" s="78"/>
      <c r="J31" s="77">
        <f t="shared" si="0"/>
        <v>-2451</v>
      </c>
      <c r="K31" s="78"/>
      <c r="L31" s="78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19"/>
      <c r="Y31" s="70"/>
    </row>
    <row r="32" spans="1:25" x14ac:dyDescent="0.2">
      <c r="A32" s="74" t="s">
        <v>139</v>
      </c>
      <c r="B32" s="78">
        <f>-218</f>
        <v>-218</v>
      </c>
      <c r="C32" s="78">
        <f>-2779-14+218</f>
        <v>-2575</v>
      </c>
      <c r="D32" s="79"/>
      <c r="E32" s="78">
        <v>-174</v>
      </c>
      <c r="F32" s="73"/>
      <c r="G32" s="78"/>
      <c r="H32" s="73"/>
      <c r="I32" s="78"/>
      <c r="J32" s="77">
        <f t="shared" si="0"/>
        <v>-2967</v>
      </c>
      <c r="K32" s="78"/>
      <c r="L32" s="78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19"/>
      <c r="Y32" s="70"/>
    </row>
    <row r="33" spans="1:24" x14ac:dyDescent="0.2">
      <c r="A33" s="74" t="s">
        <v>34</v>
      </c>
      <c r="B33" s="78"/>
      <c r="C33" s="78"/>
      <c r="D33" s="79"/>
      <c r="E33" s="78"/>
      <c r="F33" s="73"/>
      <c r="G33" s="78"/>
      <c r="H33" s="73"/>
      <c r="I33" s="78"/>
      <c r="J33" s="77">
        <f t="shared" si="0"/>
        <v>0</v>
      </c>
      <c r="K33" s="78">
        <v>-1166</v>
      </c>
      <c r="L33" s="78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19"/>
    </row>
    <row r="34" spans="1:24" x14ac:dyDescent="0.2">
      <c r="A34" s="74" t="s">
        <v>140</v>
      </c>
      <c r="B34" s="78"/>
      <c r="C34" s="78"/>
      <c r="D34" s="79"/>
      <c r="E34" s="78"/>
      <c r="F34" s="73"/>
      <c r="G34" s="78"/>
      <c r="H34" s="73"/>
      <c r="I34" s="78"/>
      <c r="J34" s="77">
        <f t="shared" si="0"/>
        <v>0</v>
      </c>
      <c r="K34" s="78">
        <v>-217</v>
      </c>
      <c r="L34" s="78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19"/>
    </row>
    <row r="35" spans="1:24" x14ac:dyDescent="0.2">
      <c r="A35" s="74" t="s">
        <v>141</v>
      </c>
      <c r="B35" s="78"/>
      <c r="C35" s="78"/>
      <c r="D35" s="79"/>
      <c r="E35" s="78"/>
      <c r="F35" s="73"/>
      <c r="G35" s="78"/>
      <c r="H35" s="73"/>
      <c r="I35" s="78"/>
      <c r="J35" s="77">
        <f t="shared" si="0"/>
        <v>0</v>
      </c>
      <c r="K35" s="78">
        <v>-311</v>
      </c>
      <c r="L35" s="78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19"/>
    </row>
    <row r="36" spans="1:24" x14ac:dyDescent="0.2">
      <c r="A36" s="74" t="s">
        <v>142</v>
      </c>
      <c r="B36" s="78">
        <f>-148-23+5</f>
        <v>-166</v>
      </c>
      <c r="C36" s="78"/>
      <c r="D36" s="79"/>
      <c r="E36" s="78">
        <v>-5</v>
      </c>
      <c r="F36" s="73"/>
      <c r="G36" s="78"/>
      <c r="H36" s="73"/>
      <c r="I36" s="78"/>
      <c r="J36" s="77">
        <f t="shared" si="0"/>
        <v>-171</v>
      </c>
      <c r="K36" s="78"/>
      <c r="L36" s="78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19"/>
    </row>
    <row r="37" spans="1:24" x14ac:dyDescent="0.2">
      <c r="A37" s="74" t="s">
        <v>143</v>
      </c>
      <c r="B37" s="78"/>
      <c r="C37" s="78">
        <v>-12</v>
      </c>
      <c r="D37" s="79"/>
      <c r="E37" s="78"/>
      <c r="F37" s="73"/>
      <c r="G37" s="78"/>
      <c r="H37" s="73"/>
      <c r="I37" s="78"/>
      <c r="J37" s="77">
        <f t="shared" si="0"/>
        <v>-12</v>
      </c>
      <c r="K37" s="78"/>
      <c r="L37" s="78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19"/>
    </row>
    <row r="38" spans="1:24" x14ac:dyDescent="0.2">
      <c r="A38" s="74" t="s">
        <v>144</v>
      </c>
      <c r="B38" s="78">
        <v>-181</v>
      </c>
      <c r="C38" s="78"/>
      <c r="D38" s="79"/>
      <c r="E38" s="78"/>
      <c r="F38" s="73"/>
      <c r="G38" s="78"/>
      <c r="H38" s="73"/>
      <c r="I38" s="78"/>
      <c r="J38" s="77">
        <f t="shared" si="0"/>
        <v>-181</v>
      </c>
      <c r="K38" s="78"/>
      <c r="L38" s="78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19"/>
    </row>
    <row r="39" spans="1:24" x14ac:dyDescent="0.2">
      <c r="A39" s="74" t="s">
        <v>145</v>
      </c>
      <c r="B39" s="78">
        <v>-79</v>
      </c>
      <c r="C39" s="78"/>
      <c r="D39" s="79"/>
      <c r="E39" s="78">
        <v>-51</v>
      </c>
      <c r="F39" s="73"/>
      <c r="G39" s="78"/>
      <c r="H39" s="73"/>
      <c r="I39" s="78"/>
      <c r="J39" s="77">
        <f t="shared" si="0"/>
        <v>-130</v>
      </c>
      <c r="K39" s="78"/>
      <c r="L39" s="78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19"/>
    </row>
    <row r="40" spans="1:24" x14ac:dyDescent="0.2">
      <c r="A40" s="74" t="s">
        <v>146</v>
      </c>
      <c r="B40" s="78">
        <v>-16</v>
      </c>
      <c r="C40" s="78"/>
      <c r="D40" s="79"/>
      <c r="E40" s="78"/>
      <c r="F40" s="73"/>
      <c r="G40" s="78"/>
      <c r="H40" s="78">
        <v>-40</v>
      </c>
      <c r="I40" s="78"/>
      <c r="J40" s="77">
        <f t="shared" si="0"/>
        <v>-56</v>
      </c>
      <c r="K40" s="78"/>
      <c r="L40" s="78"/>
      <c r="N40" s="70"/>
      <c r="O40" s="70"/>
      <c r="P40" s="70"/>
      <c r="Q40" s="70"/>
      <c r="R40" s="70"/>
      <c r="T40" s="70"/>
      <c r="U40" s="70"/>
      <c r="V40" s="70"/>
      <c r="W40" s="70"/>
      <c r="X40" s="19"/>
    </row>
    <row r="41" spans="1:24" x14ac:dyDescent="0.2">
      <c r="A41" s="74" t="s">
        <v>147</v>
      </c>
      <c r="B41" s="78"/>
      <c r="C41" s="80"/>
      <c r="D41" s="79"/>
      <c r="E41" s="78"/>
      <c r="F41" s="73"/>
      <c r="G41" s="78">
        <v>-11</v>
      </c>
      <c r="H41" s="78"/>
      <c r="I41" s="78"/>
      <c r="J41" s="77">
        <f t="shared" si="0"/>
        <v>-11</v>
      </c>
      <c r="K41" s="78"/>
      <c r="L41" s="78"/>
      <c r="N41" s="70"/>
      <c r="O41" s="70"/>
      <c r="P41" s="70"/>
      <c r="R41" s="70"/>
      <c r="T41" s="70"/>
      <c r="U41" s="70"/>
      <c r="V41" s="70"/>
      <c r="W41" s="70"/>
      <c r="X41" s="19"/>
    </row>
    <row r="42" spans="1:24" x14ac:dyDescent="0.2">
      <c r="A42" s="74" t="s">
        <v>148</v>
      </c>
      <c r="B42" s="78"/>
      <c r="C42" s="78">
        <f>-341</f>
        <v>-341</v>
      </c>
      <c r="D42" s="79"/>
      <c r="E42" s="78"/>
      <c r="F42" s="73"/>
      <c r="G42" s="78"/>
      <c r="H42" s="78"/>
      <c r="I42" s="78"/>
      <c r="J42" s="77">
        <f t="shared" si="0"/>
        <v>-341</v>
      </c>
      <c r="K42" s="78">
        <v>-103</v>
      </c>
      <c r="L42" s="78"/>
      <c r="N42" s="70"/>
      <c r="O42" s="70"/>
      <c r="P42" s="70"/>
      <c r="Q42" s="70"/>
      <c r="R42" s="70"/>
      <c r="T42" s="70"/>
      <c r="U42" s="70"/>
      <c r="V42" s="70"/>
      <c r="W42" s="70"/>
      <c r="X42" s="19"/>
    </row>
    <row r="43" spans="1:24" x14ac:dyDescent="0.2">
      <c r="A43" s="74" t="s">
        <v>149</v>
      </c>
      <c r="B43" s="78"/>
      <c r="C43" s="79"/>
      <c r="D43" s="79"/>
      <c r="E43" s="78">
        <v>-78</v>
      </c>
      <c r="F43" s="73"/>
      <c r="G43" s="78"/>
      <c r="H43" s="78"/>
      <c r="I43" s="78"/>
      <c r="J43" s="77">
        <f t="shared" si="0"/>
        <v>-78</v>
      </c>
      <c r="K43" s="78"/>
      <c r="L43" s="78"/>
      <c r="N43" s="70"/>
      <c r="O43" s="70"/>
      <c r="P43" s="70"/>
      <c r="Q43" s="70"/>
      <c r="R43" s="70"/>
      <c r="T43" s="70"/>
      <c r="U43" s="70"/>
      <c r="V43" s="70"/>
      <c r="W43" s="70"/>
      <c r="X43" s="19"/>
    </row>
    <row r="44" spans="1:24" x14ac:dyDescent="0.2">
      <c r="A44" s="74" t="s">
        <v>150</v>
      </c>
      <c r="B44" s="78">
        <v>-1508</v>
      </c>
      <c r="C44" s="79"/>
      <c r="D44" s="79"/>
      <c r="E44" s="78">
        <f>-1612</f>
        <v>-1612</v>
      </c>
      <c r="F44" s="73"/>
      <c r="G44" s="78"/>
      <c r="H44" s="78">
        <v>-20</v>
      </c>
      <c r="I44" s="78"/>
      <c r="J44" s="77">
        <f t="shared" si="0"/>
        <v>-3140</v>
      </c>
      <c r="K44" s="78"/>
      <c r="L44" s="78"/>
      <c r="N44" s="70"/>
      <c r="O44" s="70"/>
      <c r="P44" s="70"/>
      <c r="Q44" s="70"/>
      <c r="R44" s="70"/>
      <c r="T44" s="70"/>
      <c r="U44" s="70"/>
      <c r="V44" s="70"/>
      <c r="W44" s="70"/>
      <c r="X44" s="19"/>
    </row>
    <row r="46" spans="1:24" s="55" customFormat="1" x14ac:dyDescent="0.2">
      <c r="A46" s="72" t="s">
        <v>151</v>
      </c>
      <c r="B46" s="81">
        <f t="shared" ref="B46:K46" si="1">SUM(B6:B45)</f>
        <v>0</v>
      </c>
      <c r="C46" s="81">
        <f t="shared" si="1"/>
        <v>7963</v>
      </c>
      <c r="D46" s="81">
        <f t="shared" si="1"/>
        <v>743</v>
      </c>
      <c r="E46" s="81">
        <f t="shared" si="1"/>
        <v>0</v>
      </c>
      <c r="F46" s="81">
        <f t="shared" si="1"/>
        <v>0</v>
      </c>
      <c r="G46" s="81">
        <f t="shared" si="1"/>
        <v>23</v>
      </c>
      <c r="H46" s="81">
        <f t="shared" si="1"/>
        <v>0</v>
      </c>
      <c r="I46" s="81">
        <f t="shared" si="1"/>
        <v>0</v>
      </c>
      <c r="J46" s="81">
        <f t="shared" si="1"/>
        <v>8729</v>
      </c>
      <c r="K46" s="81">
        <f t="shared" si="1"/>
        <v>-1580</v>
      </c>
      <c r="L46" s="81"/>
    </row>
    <row r="48" spans="1:24" x14ac:dyDescent="0.2">
      <c r="A48" s="55" t="s">
        <v>158</v>
      </c>
    </row>
    <row r="50" spans="1:14" x14ac:dyDescent="0.2">
      <c r="A50" t="s">
        <v>120</v>
      </c>
      <c r="B50" s="60">
        <f>3570.352-E57</f>
        <v>3335.2269999999999</v>
      </c>
      <c r="J50" s="60">
        <f>SUM(B50:I50)</f>
        <v>3335.2269999999999</v>
      </c>
    </row>
    <row r="51" spans="1:14" x14ac:dyDescent="0.2">
      <c r="A51" s="21" t="s">
        <v>155</v>
      </c>
      <c r="E51" s="60">
        <v>274</v>
      </c>
      <c r="J51" s="60">
        <f t="shared" ref="J51:J80" si="2">SUM(B51:I51)</f>
        <v>274</v>
      </c>
    </row>
    <row r="52" spans="1:14" x14ac:dyDescent="0.2">
      <c r="A52" s="21" t="s">
        <v>194</v>
      </c>
      <c r="D52" s="60">
        <v>350</v>
      </c>
    </row>
    <row r="53" spans="1:14" x14ac:dyDescent="0.2">
      <c r="A53" t="s">
        <v>160</v>
      </c>
      <c r="B53" s="60">
        <v>60</v>
      </c>
      <c r="J53" s="60">
        <f t="shared" si="2"/>
        <v>60</v>
      </c>
      <c r="N53" t="s">
        <v>159</v>
      </c>
    </row>
    <row r="54" spans="1:14" x14ac:dyDescent="0.2">
      <c r="A54" s="21" t="s">
        <v>210</v>
      </c>
      <c r="B54" s="60">
        <f>80-5.772</f>
        <v>74.227999999999994</v>
      </c>
      <c r="J54" s="60">
        <f t="shared" si="2"/>
        <v>74.227999999999994</v>
      </c>
      <c r="N54" t="s">
        <v>159</v>
      </c>
    </row>
    <row r="55" spans="1:14" x14ac:dyDescent="0.2">
      <c r="A55" t="s">
        <v>161</v>
      </c>
      <c r="E55" s="60">
        <v>28.324000000000002</v>
      </c>
      <c r="J55" s="60">
        <f t="shared" si="2"/>
        <v>28.324000000000002</v>
      </c>
      <c r="N55" t="s">
        <v>159</v>
      </c>
    </row>
    <row r="56" spans="1:14" x14ac:dyDescent="0.2">
      <c r="A56" s="21" t="s">
        <v>211</v>
      </c>
      <c r="E56" s="60">
        <v>441</v>
      </c>
      <c r="J56" s="60">
        <f t="shared" si="2"/>
        <v>441</v>
      </c>
      <c r="N56" t="s">
        <v>162</v>
      </c>
    </row>
    <row r="57" spans="1:14" x14ac:dyDescent="0.2">
      <c r="A57" s="21" t="s">
        <v>182</v>
      </c>
      <c r="E57" s="60">
        <v>235.125</v>
      </c>
      <c r="J57" s="60">
        <f t="shared" si="2"/>
        <v>235.125</v>
      </c>
      <c r="N57" t="s">
        <v>163</v>
      </c>
    </row>
    <row r="58" spans="1:14" x14ac:dyDescent="0.2">
      <c r="A58" t="s">
        <v>183</v>
      </c>
      <c r="E58" s="60">
        <v>11.8</v>
      </c>
      <c r="J58" s="60">
        <f t="shared" si="2"/>
        <v>11.8</v>
      </c>
      <c r="N58" t="s">
        <v>164</v>
      </c>
    </row>
    <row r="59" spans="1:14" x14ac:dyDescent="0.2">
      <c r="A59" t="s">
        <v>184</v>
      </c>
      <c r="B59" s="60">
        <v>31.695</v>
      </c>
      <c r="J59" s="60">
        <f t="shared" si="2"/>
        <v>31.695</v>
      </c>
      <c r="N59" t="s">
        <v>165</v>
      </c>
    </row>
    <row r="60" spans="1:14" x14ac:dyDescent="0.2">
      <c r="A60" t="s">
        <v>167</v>
      </c>
      <c r="B60" s="60">
        <v>48.1</v>
      </c>
      <c r="J60" s="60">
        <f t="shared" si="2"/>
        <v>48.1</v>
      </c>
      <c r="N60" t="s">
        <v>166</v>
      </c>
    </row>
    <row r="61" spans="1:14" x14ac:dyDescent="0.2">
      <c r="A61" t="s">
        <v>168</v>
      </c>
      <c r="B61" s="60">
        <v>25</v>
      </c>
      <c r="J61" s="60">
        <f t="shared" si="2"/>
        <v>25</v>
      </c>
      <c r="N61" t="s">
        <v>159</v>
      </c>
    </row>
    <row r="62" spans="1:14" x14ac:dyDescent="0.2">
      <c r="A62" s="21" t="s">
        <v>212</v>
      </c>
      <c r="B62" s="60">
        <f>35+9</f>
        <v>44</v>
      </c>
      <c r="J62" s="60">
        <f t="shared" si="2"/>
        <v>44</v>
      </c>
      <c r="N62" t="s">
        <v>169</v>
      </c>
    </row>
    <row r="63" spans="1:14" x14ac:dyDescent="0.2">
      <c r="A63" t="s">
        <v>185</v>
      </c>
      <c r="B63" s="60">
        <v>32.904000000000003</v>
      </c>
      <c r="J63" s="60">
        <f t="shared" si="2"/>
        <v>32.904000000000003</v>
      </c>
      <c r="N63" t="s">
        <v>170</v>
      </c>
    </row>
    <row r="64" spans="1:14" x14ac:dyDescent="0.2">
      <c r="A64" t="s">
        <v>171</v>
      </c>
      <c r="B64" s="60">
        <v>32.4</v>
      </c>
      <c r="J64" s="60">
        <f t="shared" si="2"/>
        <v>32.4</v>
      </c>
      <c r="N64" t="s">
        <v>159</v>
      </c>
    </row>
    <row r="65" spans="1:14" x14ac:dyDescent="0.2">
      <c r="A65" t="s">
        <v>172</v>
      </c>
      <c r="B65" s="60">
        <f>114-30</f>
        <v>84</v>
      </c>
      <c r="J65" s="60">
        <f t="shared" si="2"/>
        <v>84</v>
      </c>
      <c r="N65" t="s">
        <v>159</v>
      </c>
    </row>
    <row r="66" spans="1:14" x14ac:dyDescent="0.2">
      <c r="A66" t="s">
        <v>173</v>
      </c>
      <c r="B66" s="60">
        <v>25</v>
      </c>
      <c r="J66" s="60">
        <f t="shared" si="2"/>
        <v>25</v>
      </c>
      <c r="N66" t="s">
        <v>159</v>
      </c>
    </row>
    <row r="67" spans="1:14" x14ac:dyDescent="0.2">
      <c r="A67" t="s">
        <v>186</v>
      </c>
      <c r="J67" s="60">
        <f t="shared" si="2"/>
        <v>0</v>
      </c>
      <c r="N67" t="s">
        <v>174</v>
      </c>
    </row>
    <row r="68" spans="1:14" x14ac:dyDescent="0.2">
      <c r="A68" t="s">
        <v>191</v>
      </c>
      <c r="B68" s="60">
        <v>32</v>
      </c>
      <c r="J68" s="60">
        <f t="shared" si="2"/>
        <v>32</v>
      </c>
      <c r="N68" t="s">
        <v>175</v>
      </c>
    </row>
    <row r="69" spans="1:14" x14ac:dyDescent="0.2">
      <c r="A69" t="s">
        <v>187</v>
      </c>
      <c r="B69" s="60">
        <v>145.47399999999999</v>
      </c>
      <c r="J69" s="60">
        <f t="shared" si="2"/>
        <v>145.47399999999999</v>
      </c>
      <c r="N69" t="s">
        <v>166</v>
      </c>
    </row>
    <row r="70" spans="1:14" x14ac:dyDescent="0.2">
      <c r="A70" t="s">
        <v>188</v>
      </c>
      <c r="B70" s="60">
        <v>202.71</v>
      </c>
      <c r="J70" s="60">
        <f t="shared" si="2"/>
        <v>202.71</v>
      </c>
      <c r="N70" t="s">
        <v>174</v>
      </c>
    </row>
    <row r="71" spans="1:14" x14ac:dyDescent="0.2">
      <c r="A71" t="s">
        <v>177</v>
      </c>
      <c r="E71" s="60">
        <v>277</v>
      </c>
      <c r="J71" s="60">
        <f t="shared" si="2"/>
        <v>277</v>
      </c>
      <c r="N71" t="s">
        <v>176</v>
      </c>
    </row>
    <row r="72" spans="1:14" x14ac:dyDescent="0.2">
      <c r="A72" t="s">
        <v>172</v>
      </c>
      <c r="B72" s="60">
        <v>30</v>
      </c>
      <c r="J72" s="60">
        <f t="shared" si="2"/>
        <v>30</v>
      </c>
      <c r="N72" t="s">
        <v>178</v>
      </c>
    </row>
    <row r="73" spans="1:14" x14ac:dyDescent="0.2">
      <c r="A73" t="s">
        <v>187</v>
      </c>
      <c r="B73" s="60">
        <v>145.47399999999999</v>
      </c>
      <c r="J73" s="60">
        <f t="shared" si="2"/>
        <v>145.47399999999999</v>
      </c>
      <c r="N73" t="s">
        <v>166</v>
      </c>
    </row>
    <row r="74" spans="1:14" x14ac:dyDescent="0.2">
      <c r="A74" t="s">
        <v>179</v>
      </c>
      <c r="E74" s="60">
        <v>106.34399999999999</v>
      </c>
      <c r="J74" s="60">
        <f t="shared" si="2"/>
        <v>106.34399999999999</v>
      </c>
      <c r="N74" t="s">
        <v>175</v>
      </c>
    </row>
    <row r="75" spans="1:14" x14ac:dyDescent="0.2">
      <c r="A75" t="s">
        <v>189</v>
      </c>
      <c r="E75" s="60">
        <v>120.73099999999999</v>
      </c>
      <c r="J75" s="60">
        <f t="shared" si="2"/>
        <v>120.73099999999999</v>
      </c>
      <c r="N75" t="s">
        <v>180</v>
      </c>
    </row>
    <row r="76" spans="1:14" x14ac:dyDescent="0.2">
      <c r="A76" t="s">
        <v>181</v>
      </c>
      <c r="E76" s="60">
        <v>17.64</v>
      </c>
      <c r="J76" s="60">
        <f t="shared" si="2"/>
        <v>17.64</v>
      </c>
      <c r="N76" t="s">
        <v>166</v>
      </c>
    </row>
    <row r="77" spans="1:14" x14ac:dyDescent="0.2">
      <c r="A77" t="s">
        <v>192</v>
      </c>
      <c r="B77" s="68">
        <v>75</v>
      </c>
      <c r="J77" s="60">
        <f t="shared" si="2"/>
        <v>75</v>
      </c>
      <c r="N77" t="s">
        <v>166</v>
      </c>
    </row>
    <row r="78" spans="1:14" x14ac:dyDescent="0.2">
      <c r="A78" s="21" t="s">
        <v>193</v>
      </c>
      <c r="B78" s="68">
        <v>71.268000000000001</v>
      </c>
      <c r="J78" s="60">
        <f t="shared" si="2"/>
        <v>71.268000000000001</v>
      </c>
      <c r="N78" t="s">
        <v>174</v>
      </c>
    </row>
    <row r="79" spans="1:14" x14ac:dyDescent="0.2">
      <c r="A79" s="21" t="s">
        <v>196</v>
      </c>
      <c r="E79" s="60">
        <v>7.6379099999999998</v>
      </c>
      <c r="J79" s="60">
        <f t="shared" si="2"/>
        <v>7.6379099999999998</v>
      </c>
      <c r="N79" t="s">
        <v>195</v>
      </c>
    </row>
    <row r="80" spans="1:14" x14ac:dyDescent="0.2">
      <c r="A80" s="21" t="s">
        <v>213</v>
      </c>
      <c r="E80" s="67">
        <v>-4.1829999999999998</v>
      </c>
      <c r="J80" s="60">
        <f t="shared" si="2"/>
        <v>-4.1829999999999998</v>
      </c>
      <c r="N80" t="s">
        <v>159</v>
      </c>
    </row>
    <row r="81" spans="1:13" s="63" customFormat="1" x14ac:dyDescent="0.2">
      <c r="A81" s="64" t="s">
        <v>190</v>
      </c>
      <c r="B81" s="65">
        <f>SUM(B46:B80)</f>
        <v>4494.4800000000005</v>
      </c>
      <c r="C81" s="65">
        <f t="shared" ref="C81:K81" si="3">SUM(C46:C80)</f>
        <v>7963</v>
      </c>
      <c r="D81" s="65">
        <f t="shared" si="3"/>
        <v>1093</v>
      </c>
      <c r="E81" s="65">
        <f t="shared" si="3"/>
        <v>1515.4189100000001</v>
      </c>
      <c r="F81" s="65">
        <f t="shared" si="3"/>
        <v>0</v>
      </c>
      <c r="G81" s="65">
        <f t="shared" si="3"/>
        <v>23</v>
      </c>
      <c r="H81" s="65">
        <f t="shared" si="3"/>
        <v>0</v>
      </c>
      <c r="I81" s="65">
        <f t="shared" si="3"/>
        <v>0</v>
      </c>
      <c r="J81" s="65">
        <f t="shared" si="3"/>
        <v>14738.898909999994</v>
      </c>
      <c r="K81" s="65">
        <f t="shared" si="3"/>
        <v>-1580</v>
      </c>
      <c r="L81" s="65"/>
    </row>
    <row r="83" spans="1:13" x14ac:dyDescent="0.2">
      <c r="A83" s="55" t="s">
        <v>197</v>
      </c>
    </row>
    <row r="85" spans="1:13" x14ac:dyDescent="0.2">
      <c r="A85" t="s">
        <v>199</v>
      </c>
      <c r="C85" s="60">
        <f>J85</f>
        <v>-993.56500000000005</v>
      </c>
      <c r="J85" s="60">
        <v>-993.56500000000005</v>
      </c>
      <c r="K85" s="60">
        <f>J85-SUM(B85:I85)</f>
        <v>0</v>
      </c>
    </row>
    <row r="86" spans="1:13" x14ac:dyDescent="0.2">
      <c r="A86" t="s">
        <v>166</v>
      </c>
      <c r="B86" s="60">
        <f>-(B60+B69+B73+B77)</f>
        <v>-414.048</v>
      </c>
      <c r="C86" s="60">
        <f>J86-B86-E86</f>
        <v>-700.61900000000003</v>
      </c>
      <c r="E86" s="60">
        <f>-E76</f>
        <v>-17.64</v>
      </c>
      <c r="J86" s="60">
        <v>-1132.307</v>
      </c>
      <c r="K86" s="60">
        <f t="shared" ref="K86:K91" si="4">J86-SUM(B86:I86)</f>
        <v>0</v>
      </c>
    </row>
    <row r="87" spans="1:13" x14ac:dyDescent="0.2">
      <c r="A87" t="s">
        <v>174</v>
      </c>
      <c r="B87" s="60">
        <f>-B78-B70</f>
        <v>-273.97800000000001</v>
      </c>
      <c r="C87" s="60">
        <f>J87-B87</f>
        <v>-148.71800000000002</v>
      </c>
      <c r="J87" s="60">
        <v>-422.69600000000003</v>
      </c>
      <c r="K87" s="60">
        <f t="shared" si="4"/>
        <v>0</v>
      </c>
    </row>
    <row r="88" spans="1:13" x14ac:dyDescent="0.2">
      <c r="A88" t="s">
        <v>200</v>
      </c>
      <c r="C88" s="60">
        <v>-192.47800000000001</v>
      </c>
      <c r="J88" s="60">
        <v>-192.47800000000001</v>
      </c>
      <c r="K88" s="60">
        <f t="shared" si="4"/>
        <v>0</v>
      </c>
    </row>
    <row r="89" spans="1:13" x14ac:dyDescent="0.2">
      <c r="A89" t="s">
        <v>201</v>
      </c>
      <c r="B89" s="60">
        <f>-B63</f>
        <v>-32.904000000000003</v>
      </c>
      <c r="C89" s="60">
        <f>J89-B89</f>
        <v>-2812.1804099999999</v>
      </c>
      <c r="J89" s="60">
        <v>-2845.0844099999999</v>
      </c>
      <c r="K89" s="60">
        <f t="shared" si="4"/>
        <v>0</v>
      </c>
    </row>
    <row r="90" spans="1:13" x14ac:dyDescent="0.2">
      <c r="A90" t="s">
        <v>162</v>
      </c>
      <c r="E90" s="60">
        <f>-E56</f>
        <v>-441</v>
      </c>
      <c r="J90" s="60">
        <v>-441</v>
      </c>
      <c r="K90" s="60">
        <f t="shared" si="4"/>
        <v>0</v>
      </c>
    </row>
    <row r="91" spans="1:13" x14ac:dyDescent="0.2">
      <c r="A91" t="s">
        <v>202</v>
      </c>
      <c r="J91" s="60">
        <f>-8445.93056-J90</f>
        <v>-8004.9305600000007</v>
      </c>
      <c r="K91" s="60">
        <f t="shared" si="4"/>
        <v>-8004.9305600000007</v>
      </c>
    </row>
    <row r="92" spans="1:13" x14ac:dyDescent="0.2">
      <c r="A92" t="s">
        <v>203</v>
      </c>
      <c r="B92" s="60">
        <f>-B62</f>
        <v>-44</v>
      </c>
      <c r="E92" s="60">
        <f>-E58</f>
        <v>-11.8</v>
      </c>
      <c r="J92" s="60">
        <v>-1209.229</v>
      </c>
      <c r="K92" s="60">
        <f t="shared" ref="K92:K104" si="5">J92-SUM(B92:I92)</f>
        <v>-1153.4290000000001</v>
      </c>
      <c r="M92" s="21" t="s">
        <v>208</v>
      </c>
    </row>
    <row r="93" spans="1:13" x14ac:dyDescent="0.2">
      <c r="A93" t="s">
        <v>204</v>
      </c>
      <c r="C93" s="60">
        <f>J93</f>
        <v>-32.098999999999997</v>
      </c>
      <c r="J93" s="60">
        <v>-32.098999999999997</v>
      </c>
      <c r="K93" s="60">
        <f t="shared" si="5"/>
        <v>0</v>
      </c>
    </row>
    <row r="94" spans="1:13" x14ac:dyDescent="0.2">
      <c r="A94" t="s">
        <v>195</v>
      </c>
      <c r="C94" s="60">
        <f>J94-E94</f>
        <v>-434.05709000000002</v>
      </c>
      <c r="E94" s="60">
        <f>-E79</f>
        <v>-7.6379099999999998</v>
      </c>
      <c r="J94" s="60">
        <v>-441.69499999999999</v>
      </c>
      <c r="K94" s="60">
        <f t="shared" si="5"/>
        <v>0</v>
      </c>
    </row>
    <row r="95" spans="1:13" x14ac:dyDescent="0.2">
      <c r="A95" t="s">
        <v>178</v>
      </c>
      <c r="B95" s="60">
        <f>-B72</f>
        <v>-30</v>
      </c>
      <c r="C95" s="60">
        <f>J95-B95</f>
        <v>-287.47500000000002</v>
      </c>
      <c r="J95" s="60">
        <v>-317.47500000000002</v>
      </c>
      <c r="K95" s="60">
        <f t="shared" si="5"/>
        <v>0</v>
      </c>
    </row>
    <row r="96" spans="1:13" x14ac:dyDescent="0.2">
      <c r="A96" t="s">
        <v>175</v>
      </c>
      <c r="B96" s="60">
        <f>-B68</f>
        <v>-32</v>
      </c>
      <c r="C96" s="60">
        <f>J96-B96-E96</f>
        <v>-235.32584000000003</v>
      </c>
      <c r="E96" s="60">
        <f>-E74</f>
        <v>-106.34399999999999</v>
      </c>
      <c r="J96" s="60">
        <v>-373.66984000000002</v>
      </c>
      <c r="K96" s="60">
        <f t="shared" si="5"/>
        <v>0</v>
      </c>
    </row>
    <row r="97" spans="1:13" x14ac:dyDescent="0.2">
      <c r="A97" t="s">
        <v>205</v>
      </c>
      <c r="C97" s="60">
        <f>J97</f>
        <v>-57.540999999999997</v>
      </c>
      <c r="J97" s="60">
        <v>-57.540999999999997</v>
      </c>
      <c r="K97" s="60">
        <f t="shared" si="5"/>
        <v>0</v>
      </c>
    </row>
    <row r="98" spans="1:13" x14ac:dyDescent="0.2">
      <c r="A98" t="s">
        <v>180</v>
      </c>
      <c r="E98" s="60">
        <f>-E75</f>
        <v>-120.73099999999999</v>
      </c>
      <c r="J98" s="60">
        <v>-120.73099999999999</v>
      </c>
      <c r="K98" s="60">
        <f t="shared" si="5"/>
        <v>0</v>
      </c>
    </row>
    <row r="99" spans="1:13" x14ac:dyDescent="0.2">
      <c r="A99" t="s">
        <v>198</v>
      </c>
      <c r="G99" s="60">
        <v>-22.3</v>
      </c>
      <c r="J99" s="60">
        <v>-22.28</v>
      </c>
      <c r="K99" s="60">
        <f t="shared" si="5"/>
        <v>1.9999999999999574E-2</v>
      </c>
    </row>
    <row r="100" spans="1:13" x14ac:dyDescent="0.2">
      <c r="A100" t="s">
        <v>206</v>
      </c>
      <c r="B100" s="60">
        <f>-446</f>
        <v>-446</v>
      </c>
      <c r="C100" s="60">
        <f>J100+748.359-B100</f>
        <v>-104.77499999999998</v>
      </c>
      <c r="J100" s="60">
        <v>-1299.134</v>
      </c>
      <c r="K100" s="60">
        <f t="shared" si="5"/>
        <v>-748.35900000000004</v>
      </c>
      <c r="M100" s="21" t="s">
        <v>209</v>
      </c>
    </row>
    <row r="101" spans="1:13" x14ac:dyDescent="0.2">
      <c r="A101" t="s">
        <v>163</v>
      </c>
      <c r="E101" s="60">
        <f>-E57</f>
        <v>-235.125</v>
      </c>
      <c r="J101" s="60">
        <v>-300</v>
      </c>
      <c r="K101" s="60">
        <f t="shared" si="5"/>
        <v>-64.875</v>
      </c>
    </row>
    <row r="102" spans="1:13" x14ac:dyDescent="0.2">
      <c r="A102" t="s">
        <v>165</v>
      </c>
      <c r="B102" s="60">
        <f>-B59</f>
        <v>-31.695</v>
      </c>
      <c r="J102" s="60">
        <v>-31.695</v>
      </c>
      <c r="K102" s="60">
        <f t="shared" si="5"/>
        <v>0</v>
      </c>
    </row>
    <row r="103" spans="1:13" x14ac:dyDescent="0.2">
      <c r="A103" t="s">
        <v>176</v>
      </c>
      <c r="E103" s="60">
        <f>-E71</f>
        <v>-277</v>
      </c>
      <c r="J103" s="60">
        <v>-277</v>
      </c>
      <c r="K103" s="60">
        <f t="shared" si="5"/>
        <v>0</v>
      </c>
    </row>
    <row r="104" spans="1:13" x14ac:dyDescent="0.2">
      <c r="A104" t="s">
        <v>159</v>
      </c>
      <c r="B104" s="60">
        <f>-B53-B54-B61-B64-B65-B66-2889.2</f>
        <v>-3189.828</v>
      </c>
      <c r="E104" s="60">
        <f>-E55-E80-E51</f>
        <v>-298.14100000000002</v>
      </c>
      <c r="J104" s="60">
        <v>-3488</v>
      </c>
      <c r="K104" s="60">
        <f t="shared" si="5"/>
        <v>-3.0999999999949068E-2</v>
      </c>
    </row>
    <row r="106" spans="1:13" x14ac:dyDescent="0.2">
      <c r="A106" s="66" t="s">
        <v>207</v>
      </c>
      <c r="B106" s="69">
        <f t="shared" ref="B106:J106" si="6">SUM(B81:B105)</f>
        <v>2.7000000000498403E-2</v>
      </c>
      <c r="C106" s="69">
        <f t="shared" si="6"/>
        <v>1964.1666599999994</v>
      </c>
      <c r="D106" s="69">
        <f t="shared" si="6"/>
        <v>1093</v>
      </c>
      <c r="E106" s="69">
        <f t="shared" si="6"/>
        <v>0</v>
      </c>
      <c r="F106" s="69">
        <f t="shared" si="6"/>
        <v>0</v>
      </c>
      <c r="G106" s="69">
        <f t="shared" si="6"/>
        <v>0.69999999999999929</v>
      </c>
      <c r="H106" s="69">
        <f t="shared" si="6"/>
        <v>0</v>
      </c>
      <c r="I106" s="69">
        <f t="shared" si="6"/>
        <v>0</v>
      </c>
      <c r="J106" s="69">
        <f t="shared" si="6"/>
        <v>-7263.7109000000055</v>
      </c>
      <c r="K106" s="69">
        <f>SUM(K82:K105)</f>
        <v>-9971.6045599999998</v>
      </c>
      <c r="L106" s="69"/>
    </row>
    <row r="108" spans="1:13" x14ac:dyDescent="0.2">
      <c r="A108" t="s">
        <v>228</v>
      </c>
      <c r="B108" s="60">
        <f>B50+1000+1075</f>
        <v>5410.2269999999999</v>
      </c>
      <c r="C108" s="60">
        <v>5340</v>
      </c>
      <c r="D108" s="60">
        <v>260</v>
      </c>
      <c r="E108" s="60">
        <v>293.97300000000001</v>
      </c>
      <c r="I108" s="60">
        <v>300</v>
      </c>
      <c r="J108" s="60">
        <f>SUM(B108:I108)</f>
        <v>11604.199999999999</v>
      </c>
    </row>
    <row r="109" spans="1:13" x14ac:dyDescent="0.2">
      <c r="A109" t="s">
        <v>229</v>
      </c>
    </row>
    <row r="110" spans="1:13" x14ac:dyDescent="0.2">
      <c r="A110" s="83" t="s">
        <v>230</v>
      </c>
      <c r="B110" s="60">
        <f>J110</f>
        <v>-705.899</v>
      </c>
      <c r="J110" s="84">
        <v>-705.899</v>
      </c>
      <c r="K110" s="60">
        <f t="shared" ref="K110:K117" si="7">J110-SUM(B110:I110)</f>
        <v>0</v>
      </c>
    </row>
    <row r="111" spans="1:13" x14ac:dyDescent="0.2">
      <c r="A111" s="83" t="s">
        <v>231</v>
      </c>
      <c r="J111" s="84">
        <v>-18542.123</v>
      </c>
      <c r="K111" s="60">
        <f t="shared" si="7"/>
        <v>-18542.123</v>
      </c>
    </row>
    <row r="112" spans="1:13" x14ac:dyDescent="0.2">
      <c r="A112" s="83" t="s">
        <v>233</v>
      </c>
      <c r="B112" s="60">
        <f>J112</f>
        <v>-36.828000000000003</v>
      </c>
      <c r="J112" s="84">
        <v>-36.828000000000003</v>
      </c>
      <c r="K112" s="60">
        <f t="shared" si="7"/>
        <v>0</v>
      </c>
    </row>
    <row r="113" spans="1:12" x14ac:dyDescent="0.2">
      <c r="A113" s="83" t="s">
        <v>232</v>
      </c>
      <c r="B113" s="60">
        <f>J113</f>
        <v>-854.83799999999997</v>
      </c>
      <c r="J113" s="84">
        <v>-854.83799999999997</v>
      </c>
      <c r="K113" s="60">
        <f t="shared" si="7"/>
        <v>0</v>
      </c>
    </row>
    <row r="114" spans="1:12" x14ac:dyDescent="0.2">
      <c r="A114" t="s">
        <v>230</v>
      </c>
      <c r="C114" s="60">
        <v>-5772.5</v>
      </c>
      <c r="J114" s="84">
        <v>-5772.5055499999999</v>
      </c>
      <c r="K114" s="60">
        <f t="shared" si="7"/>
        <v>-5.5499999998573912E-3</v>
      </c>
    </row>
    <row r="115" spans="1:12" x14ac:dyDescent="0.2">
      <c r="A115" t="s">
        <v>231</v>
      </c>
      <c r="D115" s="60">
        <v>-500</v>
      </c>
      <c r="I115" s="60">
        <v>-300</v>
      </c>
      <c r="J115" s="84">
        <v>-6741.3180000000002</v>
      </c>
      <c r="K115" s="60">
        <f t="shared" si="7"/>
        <v>-5941.3180000000002</v>
      </c>
    </row>
    <row r="116" spans="1:12" x14ac:dyDescent="0.2">
      <c r="A116" t="s">
        <v>233</v>
      </c>
      <c r="B116" s="60">
        <f>J116</f>
        <v>-794</v>
      </c>
      <c r="J116" s="84">
        <v>-794</v>
      </c>
      <c r="K116" s="60">
        <f t="shared" si="7"/>
        <v>0</v>
      </c>
    </row>
    <row r="117" spans="1:12" x14ac:dyDescent="0.2">
      <c r="A117" t="s">
        <v>232</v>
      </c>
      <c r="B117" s="60">
        <v>-3018.7</v>
      </c>
      <c r="C117" s="60">
        <v>-187.3</v>
      </c>
      <c r="E117" s="60">
        <f>-E108</f>
        <v>-293.97300000000001</v>
      </c>
      <c r="J117" s="84">
        <v>-3500</v>
      </c>
      <c r="K117" s="60">
        <f t="shared" si="7"/>
        <v>-2.7000000000043656E-2</v>
      </c>
    </row>
    <row r="118" spans="1:12" x14ac:dyDescent="0.2">
      <c r="J118">
        <v>0</v>
      </c>
    </row>
    <row r="119" spans="1:12" x14ac:dyDescent="0.2">
      <c r="A119" s="66" t="s">
        <v>234</v>
      </c>
      <c r="B119" s="69">
        <f>SUM(B106:B118)</f>
        <v>-1.0999999999512511E-2</v>
      </c>
      <c r="C119" s="69">
        <f t="shared" ref="C119:I119" si="8">SUM(C106:C118)</f>
        <v>1344.366659999999</v>
      </c>
      <c r="D119" s="69">
        <f t="shared" si="8"/>
        <v>853</v>
      </c>
      <c r="E119" s="69">
        <f t="shared" si="8"/>
        <v>0</v>
      </c>
      <c r="F119" s="69">
        <f t="shared" si="8"/>
        <v>0</v>
      </c>
      <c r="G119" s="69">
        <f t="shared" si="8"/>
        <v>0.69999999999999929</v>
      </c>
      <c r="H119" s="69">
        <f t="shared" si="8"/>
        <v>0</v>
      </c>
      <c r="I119" s="69">
        <f t="shared" si="8"/>
        <v>0</v>
      </c>
      <c r="J119" s="69">
        <f>SUM(J94:J118)</f>
        <v>-39336.243290000006</v>
      </c>
      <c r="K119" s="69">
        <f>SUM(K110:K118)</f>
        <v>-24483.473550000002</v>
      </c>
      <c r="L119" s="69"/>
    </row>
    <row r="121" spans="1:12" x14ac:dyDescent="0.2">
      <c r="A121" t="s">
        <v>228</v>
      </c>
      <c r="B121" s="60">
        <f>B108+1000</f>
        <v>6410.2269999999999</v>
      </c>
      <c r="C121" s="85">
        <v>2061.4</v>
      </c>
      <c r="E121" s="60">
        <v>293.97300000000001</v>
      </c>
      <c r="J121" s="60">
        <f>SUM(B121:I121)</f>
        <v>8765.6</v>
      </c>
    </row>
    <row r="122" spans="1:12" x14ac:dyDescent="0.2">
      <c r="A122" t="s">
        <v>230</v>
      </c>
      <c r="B122" s="60">
        <v>-594.20000000000005</v>
      </c>
      <c r="C122" s="60">
        <v>-3405.8</v>
      </c>
      <c r="J122" s="84">
        <v>-4000</v>
      </c>
      <c r="K122" s="60">
        <f t="shared" ref="K122:K125" si="9">J122-SUM(B122:I122)</f>
        <v>0</v>
      </c>
    </row>
    <row r="123" spans="1:12" x14ac:dyDescent="0.2">
      <c r="A123" t="s">
        <v>231</v>
      </c>
      <c r="B123" s="60">
        <f>0.05*J123</f>
        <v>-1510</v>
      </c>
      <c r="J123" s="84">
        <v>-30200</v>
      </c>
      <c r="K123" s="60">
        <f t="shared" si="9"/>
        <v>-28690</v>
      </c>
    </row>
    <row r="124" spans="1:12" x14ac:dyDescent="0.2">
      <c r="A124" t="s">
        <v>233</v>
      </c>
      <c r="B124" s="60">
        <f>J124</f>
        <v>-600</v>
      </c>
      <c r="J124" s="84">
        <v>-600</v>
      </c>
      <c r="K124" s="60">
        <f t="shared" si="9"/>
        <v>0</v>
      </c>
    </row>
    <row r="125" spans="1:12" x14ac:dyDescent="0.2">
      <c r="A125" t="s">
        <v>232</v>
      </c>
      <c r="B125" s="60">
        <v>-3706</v>
      </c>
      <c r="E125" s="60">
        <f>-E121</f>
        <v>-293.97300000000001</v>
      </c>
      <c r="J125" s="84">
        <v>-4000</v>
      </c>
      <c r="K125" s="60">
        <f t="shared" si="9"/>
        <v>-2.7000000000043656E-2</v>
      </c>
    </row>
    <row r="126" spans="1:12" x14ac:dyDescent="0.2">
      <c r="J126">
        <v>0</v>
      </c>
    </row>
    <row r="127" spans="1:12" x14ac:dyDescent="0.2">
      <c r="A127" s="66" t="s">
        <v>235</v>
      </c>
      <c r="B127" s="69">
        <f t="shared" ref="B127:I127" si="10">SUM(B119:B126)</f>
        <v>1.6000000000531145E-2</v>
      </c>
      <c r="C127" s="69">
        <f t="shared" si="10"/>
        <v>-3.3340000000862346E-2</v>
      </c>
      <c r="D127" s="69">
        <f t="shared" si="10"/>
        <v>853</v>
      </c>
      <c r="E127" s="69">
        <f t="shared" si="10"/>
        <v>0</v>
      </c>
      <c r="F127" s="69">
        <f t="shared" si="10"/>
        <v>0</v>
      </c>
      <c r="G127" s="69">
        <f t="shared" si="10"/>
        <v>0.69999999999999929</v>
      </c>
      <c r="H127" s="69">
        <f t="shared" si="10"/>
        <v>0</v>
      </c>
      <c r="I127" s="69">
        <f t="shared" si="10"/>
        <v>0</v>
      </c>
      <c r="J127" s="69">
        <f>SUM(J107:J126)</f>
        <v>-94713.95484000002</v>
      </c>
      <c r="K127" s="69">
        <f>SUM(K122:K126)</f>
        <v>-28690.027000000002</v>
      </c>
      <c r="L127" s="69"/>
    </row>
    <row r="129" spans="1:12" x14ac:dyDescent="0.2">
      <c r="A129" t="s">
        <v>228</v>
      </c>
      <c r="B129" s="60">
        <f>B121+1000</f>
        <v>7410.2269999999999</v>
      </c>
      <c r="C129" s="85">
        <f>-C130</f>
        <v>2713.2</v>
      </c>
      <c r="E129" s="60">
        <v>293.97300000000001</v>
      </c>
      <c r="J129" s="60">
        <f>SUM(B129:I129)</f>
        <v>10417.4</v>
      </c>
    </row>
    <row r="130" spans="1:12" x14ac:dyDescent="0.2">
      <c r="A130" t="s">
        <v>230</v>
      </c>
      <c r="B130" s="60">
        <v>-1286.8</v>
      </c>
      <c r="C130" s="60">
        <v>-2713.2</v>
      </c>
      <c r="J130" s="84">
        <v>-4000</v>
      </c>
      <c r="K130" s="60">
        <f t="shared" ref="K130:K133" si="11">J130-SUM(B130:I130)</f>
        <v>0</v>
      </c>
    </row>
    <row r="131" spans="1:12" x14ac:dyDescent="0.2">
      <c r="A131" t="s">
        <v>231</v>
      </c>
      <c r="B131" s="60">
        <f>0.05*J131</f>
        <v>-1817.4</v>
      </c>
      <c r="J131" s="84">
        <v>-36348</v>
      </c>
      <c r="K131" s="60">
        <f t="shared" si="11"/>
        <v>-34530.6</v>
      </c>
    </row>
    <row r="132" spans="1:12" x14ac:dyDescent="0.2">
      <c r="A132" t="s">
        <v>233</v>
      </c>
      <c r="B132" s="60">
        <f>J132</f>
        <v>-600</v>
      </c>
      <c r="J132" s="84">
        <v>-600</v>
      </c>
      <c r="K132" s="60">
        <f t="shared" si="11"/>
        <v>0</v>
      </c>
    </row>
    <row r="133" spans="1:12" x14ac:dyDescent="0.2">
      <c r="A133" t="s">
        <v>232</v>
      </c>
      <c r="B133" s="60">
        <v>-3706</v>
      </c>
      <c r="E133" s="60">
        <f>-E129</f>
        <v>-293.97300000000001</v>
      </c>
      <c r="J133" s="84">
        <v>-4000</v>
      </c>
      <c r="K133" s="60">
        <f t="shared" si="11"/>
        <v>-2.7000000000043656E-2</v>
      </c>
    </row>
    <row r="134" spans="1:12" x14ac:dyDescent="0.2">
      <c r="J134">
        <v>0</v>
      </c>
    </row>
    <row r="135" spans="1:12" x14ac:dyDescent="0.2">
      <c r="A135" s="66" t="s">
        <v>236</v>
      </c>
      <c r="B135" s="69">
        <f t="shared" ref="B135:I135" si="12">SUM(B127:B134)</f>
        <v>4.2999999999665306E-2</v>
      </c>
      <c r="C135" s="69">
        <f t="shared" si="12"/>
        <v>-3.3340000000862346E-2</v>
      </c>
      <c r="D135" s="69">
        <f t="shared" si="12"/>
        <v>853</v>
      </c>
      <c r="E135" s="69">
        <f t="shared" si="12"/>
        <v>0</v>
      </c>
      <c r="F135" s="69">
        <f t="shared" si="12"/>
        <v>0</v>
      </c>
      <c r="G135" s="69">
        <f t="shared" si="12"/>
        <v>0.69999999999999929</v>
      </c>
      <c r="H135" s="69">
        <f t="shared" si="12"/>
        <v>0</v>
      </c>
      <c r="I135" s="69">
        <f t="shared" si="12"/>
        <v>0</v>
      </c>
      <c r="J135" s="69">
        <f>SUM(J115:J134)</f>
        <v>-209650.51613000003</v>
      </c>
      <c r="K135" s="69">
        <f>SUM(K130:K134)</f>
        <v>-34530.627</v>
      </c>
      <c r="L135" s="69"/>
    </row>
    <row r="137" spans="1:12" x14ac:dyDescent="0.2">
      <c r="A137" t="s">
        <v>228</v>
      </c>
      <c r="B137" s="60">
        <f>B129+1000</f>
        <v>8410.226999999999</v>
      </c>
      <c r="C137" s="85">
        <f>-C138</f>
        <v>1433.8</v>
      </c>
      <c r="E137" s="60">
        <v>293.97300000000001</v>
      </c>
      <c r="J137" s="60">
        <f>SUM(B137:I137)</f>
        <v>10137.999999999998</v>
      </c>
    </row>
    <row r="138" spans="1:12" x14ac:dyDescent="0.2">
      <c r="A138" t="s">
        <v>230</v>
      </c>
      <c r="B138" s="60">
        <v>-2566.1999999999998</v>
      </c>
      <c r="C138" s="60">
        <v>-1433.8</v>
      </c>
      <c r="J138" s="84">
        <v>-4000</v>
      </c>
      <c r="K138" s="60">
        <f t="shared" ref="K138:K141" si="13">J138-SUM(B138:I138)</f>
        <v>0</v>
      </c>
    </row>
    <row r="139" spans="1:12" x14ac:dyDescent="0.2">
      <c r="A139" t="s">
        <v>231</v>
      </c>
      <c r="B139" s="60">
        <f>0.05*J139</f>
        <v>-1538.1000000000001</v>
      </c>
      <c r="J139" s="84">
        <v>-30762</v>
      </c>
      <c r="K139" s="60">
        <f t="shared" si="13"/>
        <v>-29223.9</v>
      </c>
    </row>
    <row r="140" spans="1:12" x14ac:dyDescent="0.2">
      <c r="A140" t="s">
        <v>233</v>
      </c>
      <c r="B140" s="60">
        <f>J140</f>
        <v>-600</v>
      </c>
      <c r="J140" s="84">
        <v>-600</v>
      </c>
      <c r="K140" s="60">
        <f t="shared" si="13"/>
        <v>0</v>
      </c>
    </row>
    <row r="141" spans="1:12" x14ac:dyDescent="0.2">
      <c r="A141" t="s">
        <v>232</v>
      </c>
      <c r="B141" s="60">
        <v>-3706</v>
      </c>
      <c r="E141" s="60">
        <f>-E137</f>
        <v>-293.97300000000001</v>
      </c>
      <c r="J141" s="84">
        <v>-4000</v>
      </c>
      <c r="K141" s="60">
        <f t="shared" si="13"/>
        <v>-2.7000000000043656E-2</v>
      </c>
    </row>
    <row r="142" spans="1:12" x14ac:dyDescent="0.2">
      <c r="J142">
        <v>0</v>
      </c>
    </row>
    <row r="143" spans="1:12" x14ac:dyDescent="0.2">
      <c r="A143" s="66" t="s">
        <v>237</v>
      </c>
      <c r="B143" s="69">
        <f t="shared" ref="B143:I143" si="14">SUM(B135:B142)</f>
        <v>-3.0000000001564331E-2</v>
      </c>
      <c r="C143" s="69">
        <f t="shared" si="14"/>
        <v>-3.3340000000862346E-2</v>
      </c>
      <c r="D143" s="69">
        <f t="shared" si="14"/>
        <v>853</v>
      </c>
      <c r="E143" s="69">
        <f t="shared" si="14"/>
        <v>0</v>
      </c>
      <c r="F143" s="69">
        <f t="shared" si="14"/>
        <v>0</v>
      </c>
      <c r="G143" s="69">
        <f t="shared" si="14"/>
        <v>0.69999999999999929</v>
      </c>
      <c r="H143" s="69">
        <f t="shared" si="14"/>
        <v>0</v>
      </c>
      <c r="I143" s="69">
        <f t="shared" si="14"/>
        <v>0</v>
      </c>
      <c r="J143" s="69">
        <f>SUM(J123:J142)</f>
        <v>-402919.07097000006</v>
      </c>
      <c r="K143" s="69">
        <f>SUM(K138:K142)</f>
        <v>-29223.927000000003</v>
      </c>
      <c r="L143" s="69"/>
    </row>
    <row r="145" spans="1:12" x14ac:dyDescent="0.2">
      <c r="A145" t="s">
        <v>228</v>
      </c>
      <c r="B145" s="60">
        <f>B137+1000</f>
        <v>9410.226999999999</v>
      </c>
      <c r="E145" s="60">
        <v>293.97300000000001</v>
      </c>
      <c r="J145" s="60">
        <f>SUM(B145:I145)</f>
        <v>9704.1999999999989</v>
      </c>
    </row>
    <row r="146" spans="1:12" x14ac:dyDescent="0.2">
      <c r="A146" t="s">
        <v>230</v>
      </c>
      <c r="B146" s="60">
        <v>-4000</v>
      </c>
      <c r="J146" s="84">
        <v>-4000</v>
      </c>
      <c r="K146" s="60">
        <f t="shared" ref="K146:K149" si="15">J146-SUM(B146:I146)</f>
        <v>0</v>
      </c>
    </row>
    <row r="147" spans="1:12" x14ac:dyDescent="0.2">
      <c r="A147" t="s">
        <v>231</v>
      </c>
      <c r="B147" s="60">
        <f>0.05*J147</f>
        <v>-777</v>
      </c>
      <c r="J147" s="84">
        <v>-15540</v>
      </c>
      <c r="K147" s="60">
        <f t="shared" si="15"/>
        <v>-14763</v>
      </c>
    </row>
    <row r="148" spans="1:12" x14ac:dyDescent="0.2">
      <c r="A148" t="s">
        <v>233</v>
      </c>
      <c r="B148" s="60">
        <f>J148</f>
        <v>-600</v>
      </c>
      <c r="J148" s="84">
        <v>-600</v>
      </c>
      <c r="K148" s="60">
        <f t="shared" si="15"/>
        <v>0</v>
      </c>
    </row>
    <row r="149" spans="1:12" x14ac:dyDescent="0.2">
      <c r="A149" t="s">
        <v>232</v>
      </c>
      <c r="B149" s="60">
        <v>-3706</v>
      </c>
      <c r="E149" s="60">
        <f>-E145</f>
        <v>-293.97300000000001</v>
      </c>
      <c r="J149" s="84">
        <v>-4000</v>
      </c>
      <c r="K149" s="60">
        <f t="shared" si="15"/>
        <v>-2.7000000000043656E-2</v>
      </c>
    </row>
    <row r="150" spans="1:12" x14ac:dyDescent="0.2">
      <c r="J150">
        <v>0</v>
      </c>
    </row>
    <row r="151" spans="1:12" x14ac:dyDescent="0.2">
      <c r="A151" s="66" t="s">
        <v>237</v>
      </c>
      <c r="B151" s="69">
        <f t="shared" ref="B151:I151" si="16">SUM(B143:B150)</f>
        <v>327.19699999999648</v>
      </c>
      <c r="C151" s="69">
        <f t="shared" si="16"/>
        <v>-3.3340000000862346E-2</v>
      </c>
      <c r="D151" s="69">
        <f t="shared" si="16"/>
        <v>853</v>
      </c>
      <c r="E151" s="69">
        <f t="shared" si="16"/>
        <v>0</v>
      </c>
      <c r="F151" s="69">
        <f t="shared" si="16"/>
        <v>0</v>
      </c>
      <c r="G151" s="69">
        <f t="shared" si="16"/>
        <v>0.69999999999999929</v>
      </c>
      <c r="H151" s="69">
        <f t="shared" si="16"/>
        <v>0</v>
      </c>
      <c r="I151" s="69">
        <f t="shared" si="16"/>
        <v>0</v>
      </c>
      <c r="J151" s="69">
        <f>SUM(J131:J150)</f>
        <v>-697177.38710000017</v>
      </c>
      <c r="K151" s="69">
        <f>SUM(K146:K150)</f>
        <v>-14763.027</v>
      </c>
      <c r="L151" s="69"/>
    </row>
  </sheetData>
  <sheetProtection algorithmName="SHA-512" hashValue="N7spY5KK4KomtUHw9KMlYzbWVTBoTFiJbludvFy5Y2v37YWIvvZRduccZkB81F9NRb3iQfYQp+V4YYyLOvkn4g==" saltValue="PZo4+BUO/Jk/bXnkdBDzyQ==" spinCount="100000" sheet="1" objects="1" scenarios="1" selectLockedCells="1" selectUnlockedCells="1"/>
  <pageMargins left="0.70866141732283472" right="0.70866141732283472" top="0.74803149606299213" bottom="0.74803149606299213" header="0.31496062992125984" footer="0.31496062992125984"/>
  <pageSetup paperSize="9" scale="3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94718-FCC5-411C-8B8F-0DD58DFBD782}">
  <dimension ref="A1:W44"/>
  <sheetViews>
    <sheetView workbookViewId="0">
      <selection activeCell="C1" sqref="C1"/>
    </sheetView>
  </sheetViews>
  <sheetFormatPr defaultRowHeight="12.75" x14ac:dyDescent="0.2"/>
  <cols>
    <col min="1" max="1" width="8.28515625" bestFit="1" customWidth="1"/>
    <col min="2" max="2" width="47.5703125" bestFit="1" customWidth="1"/>
    <col min="3" max="3" width="12.85546875" style="121" bestFit="1" customWidth="1"/>
    <col min="9" max="9" width="13.42578125" bestFit="1" customWidth="1"/>
    <col min="23" max="23" width="13.42578125" bestFit="1" customWidth="1"/>
  </cols>
  <sheetData>
    <row r="1" spans="1:23" x14ac:dyDescent="0.2">
      <c r="D1" s="108" t="s">
        <v>260</v>
      </c>
      <c r="E1" s="108" t="s">
        <v>259</v>
      </c>
      <c r="F1" s="108" t="s">
        <v>261</v>
      </c>
      <c r="G1" s="108" t="s">
        <v>262</v>
      </c>
      <c r="H1" s="108" t="s">
        <v>263</v>
      </c>
      <c r="I1" s="109" t="s">
        <v>264</v>
      </c>
      <c r="J1" s="108" t="s">
        <v>265</v>
      </c>
      <c r="K1" s="108" t="s">
        <v>266</v>
      </c>
      <c r="L1" s="109" t="s">
        <v>267</v>
      </c>
      <c r="M1" s="109" t="s">
        <v>268</v>
      </c>
      <c r="N1" s="109" t="s">
        <v>269</v>
      </c>
      <c r="O1" s="109" t="s">
        <v>270</v>
      </c>
      <c r="P1" s="109" t="s">
        <v>271</v>
      </c>
      <c r="Q1" s="109" t="s">
        <v>272</v>
      </c>
      <c r="R1" s="109" t="s">
        <v>273</v>
      </c>
      <c r="S1" s="109" t="s">
        <v>274</v>
      </c>
      <c r="T1" s="109" t="s">
        <v>275</v>
      </c>
      <c r="U1" s="109" t="s">
        <v>276</v>
      </c>
      <c r="V1" s="109" t="s">
        <v>277</v>
      </c>
      <c r="W1" s="109" t="s">
        <v>278</v>
      </c>
    </row>
    <row r="2" spans="1:23" x14ac:dyDescent="0.2">
      <c r="D2" s="110">
        <v>1</v>
      </c>
      <c r="E2" s="111" t="s">
        <v>279</v>
      </c>
      <c r="F2" s="112" t="s">
        <v>280</v>
      </c>
      <c r="G2" s="112" t="s">
        <v>281</v>
      </c>
      <c r="H2" s="112" t="s">
        <v>282</v>
      </c>
      <c r="I2" s="113">
        <f>-SUM(I3:I44)</f>
        <v>-16807377</v>
      </c>
      <c r="J2" s="111" t="s">
        <v>283</v>
      </c>
      <c r="K2" s="111" t="s">
        <v>284</v>
      </c>
      <c r="L2" s="113">
        <v>0</v>
      </c>
      <c r="M2" s="113">
        <v>0</v>
      </c>
      <c r="N2" s="113">
        <v>0</v>
      </c>
      <c r="O2" s="113">
        <v>0</v>
      </c>
      <c r="P2" s="113">
        <v>0</v>
      </c>
      <c r="Q2" s="113">
        <v>0</v>
      </c>
      <c r="R2" s="113">
        <v>0</v>
      </c>
      <c r="S2" s="113">
        <v>0</v>
      </c>
      <c r="T2" s="113">
        <v>0</v>
      </c>
      <c r="U2" s="113">
        <v>0</v>
      </c>
      <c r="V2" s="113">
        <v>0</v>
      </c>
      <c r="W2" s="113">
        <f>-SUM(W3:W44)</f>
        <v>-16807377</v>
      </c>
    </row>
    <row r="3" spans="1:23" x14ac:dyDescent="0.2">
      <c r="A3" t="s">
        <v>306</v>
      </c>
      <c r="B3" t="s">
        <v>307</v>
      </c>
      <c r="C3" s="121">
        <v>661983</v>
      </c>
      <c r="D3" s="114">
        <v>2</v>
      </c>
      <c r="E3" s="115">
        <v>4518200</v>
      </c>
      <c r="F3" s="116" t="s">
        <v>308</v>
      </c>
      <c r="G3" s="116" t="s">
        <v>281</v>
      </c>
      <c r="H3" s="116" t="s">
        <v>282</v>
      </c>
      <c r="I3" s="117">
        <f>C3</f>
        <v>661983</v>
      </c>
      <c r="J3" s="115" t="s">
        <v>283</v>
      </c>
      <c r="K3" s="118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>
        <f>I3</f>
        <v>661983</v>
      </c>
    </row>
    <row r="4" spans="1:23" x14ac:dyDescent="0.2">
      <c r="A4">
        <v>4518234</v>
      </c>
      <c r="B4" t="s">
        <v>305</v>
      </c>
      <c r="C4" s="121">
        <v>700000</v>
      </c>
      <c r="D4" s="114">
        <v>3</v>
      </c>
      <c r="E4" s="115">
        <f>A4</f>
        <v>4518234</v>
      </c>
      <c r="F4" s="116" t="s">
        <v>285</v>
      </c>
      <c r="G4" s="116" t="s">
        <v>281</v>
      </c>
      <c r="H4" s="116" t="s">
        <v>282</v>
      </c>
      <c r="I4" s="117">
        <f t="shared" ref="I4:I44" si="0">C4</f>
        <v>700000</v>
      </c>
      <c r="J4" s="115" t="s">
        <v>283</v>
      </c>
      <c r="K4" s="118" t="s">
        <v>284</v>
      </c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>
        <f t="shared" ref="W4:W44" si="1">I4</f>
        <v>700000</v>
      </c>
    </row>
    <row r="5" spans="1:23" x14ac:dyDescent="0.2">
      <c r="A5">
        <v>4518233</v>
      </c>
      <c r="B5" t="s">
        <v>29</v>
      </c>
      <c r="C5" s="121">
        <v>178000</v>
      </c>
      <c r="D5" s="114">
        <v>4</v>
      </c>
      <c r="E5" s="115">
        <f t="shared" ref="E5:E44" si="2">A5</f>
        <v>4518233</v>
      </c>
      <c r="F5" s="116" t="s">
        <v>285</v>
      </c>
      <c r="G5" s="116" t="s">
        <v>281</v>
      </c>
      <c r="H5" s="116" t="s">
        <v>282</v>
      </c>
      <c r="I5" s="117">
        <f t="shared" si="0"/>
        <v>178000</v>
      </c>
      <c r="J5" s="115" t="s">
        <v>283</v>
      </c>
      <c r="K5" s="118" t="s">
        <v>284</v>
      </c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>
        <f t="shared" si="1"/>
        <v>178000</v>
      </c>
    </row>
    <row r="6" spans="1:23" x14ac:dyDescent="0.2">
      <c r="A6">
        <v>4518218</v>
      </c>
      <c r="B6" t="s">
        <v>303</v>
      </c>
      <c r="C6" s="121">
        <v>215000</v>
      </c>
      <c r="D6" s="114">
        <v>5</v>
      </c>
      <c r="E6" s="115">
        <f t="shared" si="2"/>
        <v>4518218</v>
      </c>
      <c r="F6" s="116" t="s">
        <v>286</v>
      </c>
      <c r="G6" s="116" t="s">
        <v>281</v>
      </c>
      <c r="H6" s="116" t="s">
        <v>282</v>
      </c>
      <c r="I6" s="117">
        <f t="shared" si="0"/>
        <v>215000</v>
      </c>
      <c r="J6" s="115" t="s">
        <v>283</v>
      </c>
      <c r="K6" s="118" t="s">
        <v>284</v>
      </c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>
        <f t="shared" si="1"/>
        <v>215000</v>
      </c>
    </row>
    <row r="7" spans="1:23" x14ac:dyDescent="0.2">
      <c r="A7">
        <v>4518200</v>
      </c>
      <c r="B7" t="s">
        <v>302</v>
      </c>
      <c r="C7" s="121">
        <v>839000</v>
      </c>
      <c r="D7" s="114">
        <v>6</v>
      </c>
      <c r="E7" s="115">
        <f t="shared" si="2"/>
        <v>4518200</v>
      </c>
      <c r="F7" s="116" t="s">
        <v>285</v>
      </c>
      <c r="G7" s="116" t="s">
        <v>281</v>
      </c>
      <c r="H7" s="116" t="s">
        <v>282</v>
      </c>
      <c r="I7" s="117">
        <f t="shared" si="0"/>
        <v>839000</v>
      </c>
      <c r="J7" s="115" t="s">
        <v>283</v>
      </c>
      <c r="K7" s="118" t="s">
        <v>284</v>
      </c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>
        <f t="shared" si="1"/>
        <v>839000</v>
      </c>
    </row>
    <row r="8" spans="1:23" x14ac:dyDescent="0.2">
      <c r="A8">
        <v>4518066</v>
      </c>
      <c r="B8" t="s">
        <v>76</v>
      </c>
      <c r="C8" s="121">
        <v>15000</v>
      </c>
      <c r="D8" s="114">
        <v>7</v>
      </c>
      <c r="E8" s="115">
        <f t="shared" si="2"/>
        <v>4518066</v>
      </c>
      <c r="F8" s="116" t="s">
        <v>287</v>
      </c>
      <c r="G8" s="116" t="s">
        <v>281</v>
      </c>
      <c r="H8" s="116" t="s">
        <v>282</v>
      </c>
      <c r="I8" s="117">
        <f t="shared" si="0"/>
        <v>15000</v>
      </c>
      <c r="J8" s="115" t="s">
        <v>283</v>
      </c>
      <c r="K8" s="118" t="s">
        <v>284</v>
      </c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>
        <f t="shared" si="1"/>
        <v>15000</v>
      </c>
    </row>
    <row r="9" spans="1:23" x14ac:dyDescent="0.2">
      <c r="A9">
        <v>4518065</v>
      </c>
      <c r="B9" t="s">
        <v>301</v>
      </c>
      <c r="C9" s="121">
        <v>18200</v>
      </c>
      <c r="D9" s="114">
        <v>8</v>
      </c>
      <c r="E9" s="115">
        <f t="shared" si="2"/>
        <v>4518065</v>
      </c>
      <c r="F9" s="116" t="s">
        <v>287</v>
      </c>
      <c r="G9" s="116" t="s">
        <v>281</v>
      </c>
      <c r="H9" s="116" t="s">
        <v>282</v>
      </c>
      <c r="I9" s="117">
        <f t="shared" si="0"/>
        <v>18200</v>
      </c>
      <c r="J9" s="115" t="s">
        <v>283</v>
      </c>
      <c r="K9" s="118" t="s">
        <v>284</v>
      </c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>
        <f t="shared" si="1"/>
        <v>18200</v>
      </c>
    </row>
    <row r="10" spans="1:23" x14ac:dyDescent="0.2">
      <c r="A10">
        <v>4518064</v>
      </c>
      <c r="B10" t="s">
        <v>300</v>
      </c>
      <c r="C10" s="121">
        <v>42000</v>
      </c>
      <c r="D10" s="114">
        <v>9</v>
      </c>
      <c r="E10" s="115">
        <f t="shared" si="2"/>
        <v>4518064</v>
      </c>
      <c r="F10" s="116" t="s">
        <v>287</v>
      </c>
      <c r="G10" s="116" t="s">
        <v>281</v>
      </c>
      <c r="H10" s="116" t="s">
        <v>282</v>
      </c>
      <c r="I10" s="117">
        <f t="shared" si="0"/>
        <v>42000</v>
      </c>
      <c r="J10" s="115" t="s">
        <v>283</v>
      </c>
      <c r="K10" s="118" t="s">
        <v>284</v>
      </c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>
        <f t="shared" si="1"/>
        <v>42000</v>
      </c>
    </row>
    <row r="11" spans="1:23" x14ac:dyDescent="0.2">
      <c r="A11">
        <v>4518063</v>
      </c>
      <c r="B11" t="s">
        <v>299</v>
      </c>
      <c r="C11" s="121">
        <v>50000</v>
      </c>
      <c r="D11" s="114">
        <v>10</v>
      </c>
      <c r="E11" s="115">
        <f t="shared" si="2"/>
        <v>4518063</v>
      </c>
      <c r="F11" s="116" t="s">
        <v>286</v>
      </c>
      <c r="G11" s="116" t="s">
        <v>281</v>
      </c>
      <c r="H11" s="116" t="s">
        <v>282</v>
      </c>
      <c r="I11" s="117">
        <f t="shared" si="0"/>
        <v>50000</v>
      </c>
      <c r="J11" s="115" t="s">
        <v>283</v>
      </c>
      <c r="K11" s="118" t="s">
        <v>284</v>
      </c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>
        <f t="shared" si="1"/>
        <v>50000</v>
      </c>
    </row>
    <row r="12" spans="1:23" x14ac:dyDescent="0.2">
      <c r="A12">
        <v>4518062</v>
      </c>
      <c r="B12" t="s">
        <v>298</v>
      </c>
      <c r="C12" s="121">
        <v>41000</v>
      </c>
      <c r="D12" s="114">
        <v>11</v>
      </c>
      <c r="E12" s="115">
        <f t="shared" si="2"/>
        <v>4518062</v>
      </c>
      <c r="F12" s="116" t="s">
        <v>287</v>
      </c>
      <c r="G12" s="116" t="s">
        <v>281</v>
      </c>
      <c r="H12" s="116" t="s">
        <v>282</v>
      </c>
      <c r="I12" s="117">
        <f t="shared" si="0"/>
        <v>41000</v>
      </c>
      <c r="J12" s="115" t="s">
        <v>283</v>
      </c>
      <c r="K12" s="118" t="s">
        <v>284</v>
      </c>
      <c r="L12" s="119"/>
      <c r="M12" s="119"/>
      <c r="N12" s="119"/>
      <c r="O12" s="119"/>
      <c r="P12" s="119"/>
      <c r="Q12" s="119"/>
      <c r="R12" s="119"/>
      <c r="S12" s="119"/>
      <c r="T12" s="119"/>
      <c r="U12" s="119"/>
      <c r="V12" s="119"/>
      <c r="W12" s="119">
        <f t="shared" si="1"/>
        <v>41000</v>
      </c>
    </row>
    <row r="13" spans="1:23" x14ac:dyDescent="0.2">
      <c r="A13">
        <v>4518061</v>
      </c>
      <c r="B13" t="s">
        <v>242</v>
      </c>
      <c r="C13" s="121">
        <v>250000</v>
      </c>
      <c r="D13" s="114">
        <v>12</v>
      </c>
      <c r="E13" s="115">
        <f t="shared" si="2"/>
        <v>4518061</v>
      </c>
      <c r="F13" s="116" t="s">
        <v>287</v>
      </c>
      <c r="G13" s="116" t="s">
        <v>281</v>
      </c>
      <c r="H13" s="116" t="s">
        <v>282</v>
      </c>
      <c r="I13" s="117">
        <f t="shared" si="0"/>
        <v>250000</v>
      </c>
      <c r="J13" s="115" t="s">
        <v>283</v>
      </c>
      <c r="K13" s="118" t="s">
        <v>284</v>
      </c>
      <c r="L13" s="119"/>
      <c r="M13" s="119"/>
      <c r="N13" s="119"/>
      <c r="O13" s="119"/>
      <c r="P13" s="119"/>
      <c r="Q13" s="119"/>
      <c r="R13" s="119"/>
      <c r="S13" s="119"/>
      <c r="T13" s="119"/>
      <c r="U13" s="119"/>
      <c r="V13" s="119"/>
      <c r="W13" s="119">
        <f t="shared" si="1"/>
        <v>250000</v>
      </c>
    </row>
    <row r="14" spans="1:23" x14ac:dyDescent="0.2">
      <c r="A14">
        <v>4518060</v>
      </c>
      <c r="B14" t="s">
        <v>72</v>
      </c>
      <c r="C14" s="121">
        <v>300000</v>
      </c>
      <c r="D14" s="114">
        <v>13</v>
      </c>
      <c r="E14" s="115">
        <f t="shared" si="2"/>
        <v>4518060</v>
      </c>
      <c r="F14" s="116" t="s">
        <v>287</v>
      </c>
      <c r="G14" s="116" t="s">
        <v>281</v>
      </c>
      <c r="H14" s="116" t="s">
        <v>282</v>
      </c>
      <c r="I14" s="117">
        <f t="shared" si="0"/>
        <v>300000</v>
      </c>
      <c r="J14" s="115" t="s">
        <v>283</v>
      </c>
      <c r="K14" s="118" t="s">
        <v>284</v>
      </c>
      <c r="L14" s="119"/>
      <c r="M14" s="119"/>
      <c r="N14" s="119"/>
      <c r="O14" s="119"/>
      <c r="P14" s="119"/>
      <c r="Q14" s="119"/>
      <c r="R14" s="119"/>
      <c r="S14" s="119"/>
      <c r="T14" s="119"/>
      <c r="U14" s="119"/>
      <c r="V14" s="119"/>
      <c r="W14" s="119">
        <f t="shared" si="1"/>
        <v>300000</v>
      </c>
    </row>
    <row r="15" spans="1:23" x14ac:dyDescent="0.2">
      <c r="A15">
        <v>4518059</v>
      </c>
      <c r="B15" t="s">
        <v>69</v>
      </c>
      <c r="C15" s="121">
        <v>256500</v>
      </c>
      <c r="D15" s="114">
        <v>14</v>
      </c>
      <c r="E15" s="115">
        <f t="shared" si="2"/>
        <v>4518059</v>
      </c>
      <c r="F15" s="116" t="s">
        <v>287</v>
      </c>
      <c r="G15" s="116" t="s">
        <v>281</v>
      </c>
      <c r="H15" s="116" t="s">
        <v>282</v>
      </c>
      <c r="I15" s="117">
        <f t="shared" si="0"/>
        <v>256500</v>
      </c>
      <c r="J15" s="115" t="s">
        <v>283</v>
      </c>
      <c r="K15" s="118" t="s">
        <v>284</v>
      </c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  <c r="W15" s="119">
        <f t="shared" si="1"/>
        <v>256500</v>
      </c>
    </row>
    <row r="16" spans="1:23" x14ac:dyDescent="0.2">
      <c r="A16">
        <v>4518058</v>
      </c>
      <c r="B16" t="s">
        <v>19</v>
      </c>
      <c r="C16" s="121">
        <v>146317</v>
      </c>
      <c r="D16" s="114">
        <v>15</v>
      </c>
      <c r="E16" s="115">
        <f t="shared" si="2"/>
        <v>4518058</v>
      </c>
      <c r="F16" s="116" t="s">
        <v>286</v>
      </c>
      <c r="G16" s="116" t="s">
        <v>281</v>
      </c>
      <c r="H16" s="116" t="s">
        <v>282</v>
      </c>
      <c r="I16" s="117">
        <f t="shared" si="0"/>
        <v>146317</v>
      </c>
      <c r="J16" s="115" t="s">
        <v>283</v>
      </c>
      <c r="K16" s="118" t="s">
        <v>284</v>
      </c>
      <c r="L16" s="119"/>
      <c r="M16" s="119"/>
      <c r="N16" s="119"/>
      <c r="O16" s="119"/>
      <c r="P16" s="119"/>
      <c r="Q16" s="119"/>
      <c r="R16" s="119"/>
      <c r="S16" s="119"/>
      <c r="T16" s="119"/>
      <c r="U16" s="119"/>
      <c r="V16" s="119"/>
      <c r="W16" s="119">
        <f t="shared" si="1"/>
        <v>146317</v>
      </c>
    </row>
    <row r="17" spans="1:23" x14ac:dyDescent="0.2">
      <c r="A17">
        <v>4518055</v>
      </c>
      <c r="B17" t="s">
        <v>18</v>
      </c>
      <c r="C17" s="121">
        <v>260000</v>
      </c>
      <c r="D17" s="114">
        <v>16</v>
      </c>
      <c r="E17" s="115">
        <f t="shared" si="2"/>
        <v>4518055</v>
      </c>
      <c r="F17" s="116" t="s">
        <v>287</v>
      </c>
      <c r="G17" s="116" t="s">
        <v>281</v>
      </c>
      <c r="H17" s="116" t="s">
        <v>282</v>
      </c>
      <c r="I17" s="117">
        <f t="shared" si="0"/>
        <v>260000</v>
      </c>
      <c r="J17" s="115" t="s">
        <v>283</v>
      </c>
      <c r="K17" s="118" t="s">
        <v>284</v>
      </c>
      <c r="L17" s="119"/>
      <c r="M17" s="119"/>
      <c r="N17" s="119"/>
      <c r="O17" s="119"/>
      <c r="P17" s="119"/>
      <c r="Q17" s="119"/>
      <c r="R17" s="119"/>
      <c r="S17" s="119"/>
      <c r="T17" s="119"/>
      <c r="U17" s="119"/>
      <c r="V17" s="119"/>
      <c r="W17" s="119">
        <f t="shared" si="1"/>
        <v>260000</v>
      </c>
    </row>
    <row r="18" spans="1:23" x14ac:dyDescent="0.2">
      <c r="A18">
        <v>4518053</v>
      </c>
      <c r="B18" t="s">
        <v>297</v>
      </c>
      <c r="C18" s="121">
        <v>25000</v>
      </c>
      <c r="D18" s="114">
        <v>17</v>
      </c>
      <c r="E18" s="115">
        <f t="shared" si="2"/>
        <v>4518053</v>
      </c>
      <c r="F18" s="116" t="s">
        <v>285</v>
      </c>
      <c r="G18" s="116" t="s">
        <v>281</v>
      </c>
      <c r="H18" s="116" t="s">
        <v>282</v>
      </c>
      <c r="I18" s="117">
        <f t="shared" si="0"/>
        <v>25000</v>
      </c>
      <c r="J18" s="115" t="s">
        <v>283</v>
      </c>
      <c r="K18" s="118" t="s">
        <v>284</v>
      </c>
      <c r="L18" s="119"/>
      <c r="M18" s="119"/>
      <c r="N18" s="119"/>
      <c r="O18" s="119"/>
      <c r="P18" s="119"/>
      <c r="Q18" s="119"/>
      <c r="R18" s="119"/>
      <c r="S18" s="119"/>
      <c r="T18" s="119"/>
      <c r="U18" s="119"/>
      <c r="V18" s="119"/>
      <c r="W18" s="119">
        <f t="shared" si="1"/>
        <v>25000</v>
      </c>
    </row>
    <row r="19" spans="1:23" x14ac:dyDescent="0.2">
      <c r="A19">
        <v>4518050</v>
      </c>
      <c r="B19" t="s">
        <v>296</v>
      </c>
      <c r="C19" s="121">
        <v>50000</v>
      </c>
      <c r="D19" s="114">
        <v>18</v>
      </c>
      <c r="E19" s="115">
        <f t="shared" si="2"/>
        <v>4518050</v>
      </c>
      <c r="F19" s="116" t="s">
        <v>287</v>
      </c>
      <c r="G19" s="116" t="s">
        <v>281</v>
      </c>
      <c r="H19" s="116" t="s">
        <v>282</v>
      </c>
      <c r="I19" s="117">
        <f t="shared" si="0"/>
        <v>50000</v>
      </c>
      <c r="J19" s="115" t="s">
        <v>283</v>
      </c>
      <c r="K19" s="118" t="s">
        <v>284</v>
      </c>
      <c r="L19" s="119"/>
      <c r="M19" s="119"/>
      <c r="N19" s="119"/>
      <c r="O19" s="119"/>
      <c r="P19" s="119"/>
      <c r="Q19" s="119"/>
      <c r="R19" s="119"/>
      <c r="S19" s="119"/>
      <c r="T19" s="119"/>
      <c r="U19" s="119"/>
      <c r="V19" s="119"/>
      <c r="W19" s="119">
        <f t="shared" si="1"/>
        <v>50000</v>
      </c>
    </row>
    <row r="20" spans="1:23" x14ac:dyDescent="0.2">
      <c r="A20">
        <v>4518048</v>
      </c>
      <c r="B20" t="s">
        <v>257</v>
      </c>
      <c r="C20" s="121">
        <v>58200</v>
      </c>
      <c r="D20" s="114">
        <v>19</v>
      </c>
      <c r="E20" s="115">
        <f t="shared" si="2"/>
        <v>4518048</v>
      </c>
      <c r="F20" s="116" t="s">
        <v>287</v>
      </c>
      <c r="G20" s="116" t="s">
        <v>281</v>
      </c>
      <c r="H20" s="116" t="s">
        <v>282</v>
      </c>
      <c r="I20" s="117">
        <f t="shared" si="0"/>
        <v>58200</v>
      </c>
      <c r="J20" s="115" t="s">
        <v>283</v>
      </c>
      <c r="K20" s="118" t="s">
        <v>284</v>
      </c>
      <c r="L20" s="119"/>
      <c r="M20" s="119"/>
      <c r="N20" s="119"/>
      <c r="O20" s="119"/>
      <c r="P20" s="119"/>
      <c r="Q20" s="119"/>
      <c r="R20" s="119"/>
      <c r="S20" s="119"/>
      <c r="T20" s="119"/>
      <c r="U20" s="119"/>
      <c r="V20" s="119"/>
      <c r="W20" s="119">
        <f t="shared" si="1"/>
        <v>58200</v>
      </c>
    </row>
    <row r="21" spans="1:23" x14ac:dyDescent="0.2">
      <c r="A21">
        <v>4518025</v>
      </c>
      <c r="B21" t="s">
        <v>293</v>
      </c>
      <c r="C21" s="121">
        <v>115000</v>
      </c>
      <c r="D21" s="114">
        <v>20</v>
      </c>
      <c r="E21" s="115">
        <f t="shared" si="2"/>
        <v>4518025</v>
      </c>
      <c r="F21" s="116" t="s">
        <v>286</v>
      </c>
      <c r="G21" s="116" t="s">
        <v>281</v>
      </c>
      <c r="H21" s="116" t="s">
        <v>282</v>
      </c>
      <c r="I21" s="117">
        <f t="shared" si="0"/>
        <v>115000</v>
      </c>
      <c r="J21" s="115" t="s">
        <v>283</v>
      </c>
      <c r="K21" s="118" t="s">
        <v>284</v>
      </c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19"/>
      <c r="W21" s="119">
        <f t="shared" si="1"/>
        <v>115000</v>
      </c>
    </row>
    <row r="22" spans="1:23" x14ac:dyDescent="0.2">
      <c r="A22">
        <v>4518022</v>
      </c>
      <c r="B22" t="s">
        <v>292</v>
      </c>
      <c r="C22" s="121">
        <v>155300</v>
      </c>
      <c r="D22" s="114">
        <v>21</v>
      </c>
      <c r="E22" s="115">
        <f t="shared" si="2"/>
        <v>4518022</v>
      </c>
      <c r="F22" s="116" t="s">
        <v>286</v>
      </c>
      <c r="G22" s="116" t="s">
        <v>281</v>
      </c>
      <c r="H22" s="116" t="s">
        <v>282</v>
      </c>
      <c r="I22" s="117">
        <f t="shared" si="0"/>
        <v>155300</v>
      </c>
      <c r="J22" s="115" t="s">
        <v>283</v>
      </c>
      <c r="K22" s="118"/>
      <c r="L22" s="119"/>
      <c r="M22" s="119"/>
      <c r="N22" s="119"/>
      <c r="O22" s="119"/>
      <c r="P22" s="119"/>
      <c r="Q22" s="119"/>
      <c r="R22" s="119"/>
      <c r="S22" s="119"/>
      <c r="T22" s="119"/>
      <c r="U22" s="119"/>
      <c r="V22" s="119"/>
      <c r="W22" s="119">
        <f t="shared" si="1"/>
        <v>155300</v>
      </c>
    </row>
    <row r="23" spans="1:23" x14ac:dyDescent="0.2">
      <c r="A23">
        <v>4518019</v>
      </c>
      <c r="B23" t="s">
        <v>291</v>
      </c>
      <c r="C23" s="121">
        <v>398000</v>
      </c>
      <c r="D23" s="114">
        <v>22</v>
      </c>
      <c r="E23" s="115">
        <f t="shared" si="2"/>
        <v>4518019</v>
      </c>
      <c r="F23" s="116" t="s">
        <v>286</v>
      </c>
      <c r="G23" s="116" t="s">
        <v>281</v>
      </c>
      <c r="H23" s="116" t="s">
        <v>282</v>
      </c>
      <c r="I23" s="117">
        <f t="shared" si="0"/>
        <v>398000</v>
      </c>
      <c r="J23" s="115" t="s">
        <v>283</v>
      </c>
      <c r="K23" s="118"/>
      <c r="L23" s="119"/>
      <c r="M23" s="119"/>
      <c r="N23" s="119"/>
      <c r="O23" s="119"/>
      <c r="P23" s="119"/>
      <c r="Q23" s="119"/>
      <c r="R23" s="119"/>
      <c r="S23" s="119"/>
      <c r="T23" s="119"/>
      <c r="U23" s="119"/>
      <c r="V23" s="119"/>
      <c r="W23" s="119">
        <f t="shared" si="1"/>
        <v>398000</v>
      </c>
    </row>
    <row r="24" spans="1:23" x14ac:dyDescent="0.2">
      <c r="A24">
        <v>4518001</v>
      </c>
      <c r="B24" t="s">
        <v>290</v>
      </c>
      <c r="C24" s="121">
        <v>998000</v>
      </c>
      <c r="D24" s="114">
        <v>23</v>
      </c>
      <c r="E24" s="115">
        <f t="shared" si="2"/>
        <v>4518001</v>
      </c>
      <c r="F24" s="116" t="s">
        <v>285</v>
      </c>
      <c r="G24" s="116" t="s">
        <v>281</v>
      </c>
      <c r="H24" s="116" t="s">
        <v>282</v>
      </c>
      <c r="I24" s="117">
        <f t="shared" si="0"/>
        <v>998000</v>
      </c>
      <c r="J24" s="115" t="s">
        <v>283</v>
      </c>
      <c r="K24" s="118"/>
      <c r="L24" s="119"/>
      <c r="M24" s="119"/>
      <c r="N24" s="119"/>
      <c r="O24" s="119"/>
      <c r="P24" s="119"/>
      <c r="Q24" s="119"/>
      <c r="R24" s="119"/>
      <c r="S24" s="119"/>
      <c r="T24" s="119"/>
      <c r="U24" s="119"/>
      <c r="V24" s="119"/>
      <c r="W24" s="119">
        <f t="shared" si="1"/>
        <v>998000</v>
      </c>
    </row>
    <row r="25" spans="1:23" x14ac:dyDescent="0.2">
      <c r="A25">
        <v>4541106</v>
      </c>
      <c r="B25" t="s">
        <v>88</v>
      </c>
      <c r="C25" s="121">
        <v>-4330485</v>
      </c>
      <c r="D25" s="114">
        <v>24</v>
      </c>
      <c r="E25" s="115">
        <f t="shared" si="2"/>
        <v>4541106</v>
      </c>
      <c r="F25" s="116" t="s">
        <v>289</v>
      </c>
      <c r="G25" s="116" t="s">
        <v>281</v>
      </c>
      <c r="H25" s="116" t="s">
        <v>282</v>
      </c>
      <c r="I25" s="117">
        <f t="shared" si="0"/>
        <v>-4330485</v>
      </c>
      <c r="J25" s="115" t="s">
        <v>283</v>
      </c>
      <c r="K25" s="118"/>
      <c r="L25" s="119"/>
      <c r="M25" s="119"/>
      <c r="N25" s="119"/>
      <c r="O25" s="119"/>
      <c r="P25" s="119"/>
      <c r="Q25" s="119"/>
      <c r="R25" s="119"/>
      <c r="S25" s="119"/>
      <c r="T25" s="119"/>
      <c r="U25" s="119"/>
      <c r="V25" s="119"/>
      <c r="W25" s="119">
        <f t="shared" si="1"/>
        <v>-4330485</v>
      </c>
    </row>
    <row r="26" spans="1:23" x14ac:dyDescent="0.2">
      <c r="A26">
        <v>4518221</v>
      </c>
      <c r="B26" t="s">
        <v>250</v>
      </c>
      <c r="C26" s="121">
        <v>12000</v>
      </c>
      <c r="D26" s="114">
        <v>25</v>
      </c>
      <c r="E26" s="115">
        <f t="shared" si="2"/>
        <v>4518221</v>
      </c>
      <c r="F26" s="116" t="s">
        <v>286</v>
      </c>
      <c r="G26" s="116" t="s">
        <v>281</v>
      </c>
      <c r="H26" s="116" t="s">
        <v>282</v>
      </c>
      <c r="I26" s="117">
        <f t="shared" si="0"/>
        <v>12000</v>
      </c>
      <c r="J26" s="115" t="s">
        <v>283</v>
      </c>
      <c r="K26" s="118"/>
      <c r="L26" s="119"/>
      <c r="M26" s="119"/>
      <c r="N26" s="119"/>
      <c r="O26" s="119"/>
      <c r="P26" s="119"/>
      <c r="Q26" s="119"/>
      <c r="R26" s="119"/>
      <c r="S26" s="119"/>
      <c r="T26" s="119"/>
      <c r="U26" s="119"/>
      <c r="V26" s="119"/>
      <c r="W26" s="119">
        <f t="shared" si="1"/>
        <v>12000</v>
      </c>
    </row>
    <row r="27" spans="1:23" x14ac:dyDescent="0.2">
      <c r="A27">
        <v>4541106</v>
      </c>
      <c r="B27" t="s">
        <v>38</v>
      </c>
      <c r="C27" s="121">
        <v>50000</v>
      </c>
      <c r="D27" s="114">
        <v>26</v>
      </c>
      <c r="E27" s="115">
        <f t="shared" si="2"/>
        <v>4541106</v>
      </c>
      <c r="F27" s="116" t="s">
        <v>289</v>
      </c>
      <c r="G27" s="116" t="s">
        <v>281</v>
      </c>
      <c r="H27" s="116" t="s">
        <v>282</v>
      </c>
      <c r="I27" s="117">
        <f t="shared" si="0"/>
        <v>50000</v>
      </c>
      <c r="J27" s="115" t="s">
        <v>283</v>
      </c>
      <c r="K27" s="118"/>
      <c r="L27" s="119"/>
      <c r="M27" s="119"/>
      <c r="N27" s="119"/>
      <c r="O27" s="119"/>
      <c r="P27" s="119"/>
      <c r="Q27" s="119"/>
      <c r="R27" s="119"/>
      <c r="S27" s="119"/>
      <c r="T27" s="119"/>
      <c r="U27" s="119"/>
      <c r="V27" s="119"/>
      <c r="W27" s="119">
        <f t="shared" si="1"/>
        <v>50000</v>
      </c>
    </row>
    <row r="28" spans="1:23" x14ac:dyDescent="0.2">
      <c r="A28">
        <v>4538456</v>
      </c>
      <c r="B28" t="s">
        <v>252</v>
      </c>
      <c r="C28" s="121">
        <v>50000</v>
      </c>
      <c r="D28" s="114">
        <v>27</v>
      </c>
      <c r="E28" s="115">
        <f t="shared" si="2"/>
        <v>4538456</v>
      </c>
      <c r="F28" s="116" t="s">
        <v>286</v>
      </c>
      <c r="G28" s="116" t="s">
        <v>281</v>
      </c>
      <c r="H28" s="116" t="s">
        <v>282</v>
      </c>
      <c r="I28" s="117">
        <f t="shared" si="0"/>
        <v>50000</v>
      </c>
      <c r="J28" s="115" t="s">
        <v>283</v>
      </c>
      <c r="K28" s="118"/>
      <c r="L28" s="119"/>
      <c r="M28" s="119"/>
      <c r="N28" s="119"/>
      <c r="O28" s="119"/>
      <c r="P28" s="119"/>
      <c r="Q28" s="119"/>
      <c r="R28" s="119"/>
      <c r="S28" s="119"/>
      <c r="T28" s="119"/>
      <c r="U28" s="119"/>
      <c r="V28" s="119"/>
      <c r="W28" s="119">
        <f t="shared" si="1"/>
        <v>50000</v>
      </c>
    </row>
    <row r="29" spans="1:23" x14ac:dyDescent="0.2">
      <c r="A29">
        <v>4538461</v>
      </c>
      <c r="B29" t="s">
        <v>253</v>
      </c>
      <c r="C29" s="121">
        <v>50000</v>
      </c>
      <c r="D29" s="114">
        <v>28</v>
      </c>
      <c r="E29" s="115">
        <f t="shared" si="2"/>
        <v>4538461</v>
      </c>
      <c r="F29" s="116" t="s">
        <v>286</v>
      </c>
      <c r="G29" s="116" t="s">
        <v>281</v>
      </c>
      <c r="H29" s="116" t="s">
        <v>282</v>
      </c>
      <c r="I29" s="117">
        <f t="shared" si="0"/>
        <v>50000</v>
      </c>
      <c r="J29" s="115" t="s">
        <v>283</v>
      </c>
      <c r="K29" s="118"/>
      <c r="L29" s="119"/>
      <c r="M29" s="119"/>
      <c r="N29" s="119"/>
      <c r="O29" s="119"/>
      <c r="P29" s="119"/>
      <c r="Q29" s="119"/>
      <c r="R29" s="119"/>
      <c r="S29" s="119"/>
      <c r="T29" s="119"/>
      <c r="U29" s="119"/>
      <c r="V29" s="119"/>
      <c r="W29" s="119">
        <f t="shared" si="1"/>
        <v>50000</v>
      </c>
    </row>
    <row r="30" spans="1:23" x14ac:dyDescent="0.2">
      <c r="A30">
        <v>4538469</v>
      </c>
      <c r="B30" t="s">
        <v>51</v>
      </c>
      <c r="C30" s="121">
        <v>62000</v>
      </c>
      <c r="D30" s="114">
        <v>29</v>
      </c>
      <c r="E30" s="115">
        <f t="shared" si="2"/>
        <v>4538469</v>
      </c>
      <c r="F30" s="116" t="s">
        <v>289</v>
      </c>
      <c r="G30" s="116" t="s">
        <v>281</v>
      </c>
      <c r="H30" s="116" t="s">
        <v>282</v>
      </c>
      <c r="I30" s="117">
        <f t="shared" si="0"/>
        <v>62000</v>
      </c>
      <c r="J30" s="115" t="s">
        <v>283</v>
      </c>
      <c r="K30" s="118"/>
      <c r="L30" s="119"/>
      <c r="M30" s="119"/>
      <c r="N30" s="119"/>
      <c r="O30" s="119"/>
      <c r="P30" s="119"/>
      <c r="Q30" s="119"/>
      <c r="R30" s="119"/>
      <c r="S30" s="119"/>
      <c r="T30" s="119"/>
      <c r="U30" s="119"/>
      <c r="V30" s="119"/>
      <c r="W30" s="119">
        <f t="shared" si="1"/>
        <v>62000</v>
      </c>
    </row>
    <row r="31" spans="1:23" x14ac:dyDescent="0.2">
      <c r="A31">
        <v>4538472</v>
      </c>
      <c r="B31" t="s">
        <v>112</v>
      </c>
      <c r="C31" s="121">
        <v>120000</v>
      </c>
      <c r="D31" s="114">
        <v>30</v>
      </c>
      <c r="E31" s="115">
        <f t="shared" si="2"/>
        <v>4538472</v>
      </c>
      <c r="F31" s="116" t="s">
        <v>286</v>
      </c>
      <c r="G31" s="116" t="s">
        <v>281</v>
      </c>
      <c r="H31" s="116" t="s">
        <v>282</v>
      </c>
      <c r="I31" s="117">
        <f t="shared" si="0"/>
        <v>120000</v>
      </c>
      <c r="J31" s="115" t="s">
        <v>283</v>
      </c>
      <c r="K31" s="118"/>
      <c r="L31" s="119"/>
      <c r="M31" s="119"/>
      <c r="N31" s="119"/>
      <c r="O31" s="119"/>
      <c r="P31" s="119"/>
      <c r="Q31" s="119"/>
      <c r="R31" s="119"/>
      <c r="S31" s="119"/>
      <c r="T31" s="119"/>
      <c r="U31" s="119"/>
      <c r="V31" s="119"/>
      <c r="W31" s="119">
        <f t="shared" si="1"/>
        <v>120000</v>
      </c>
    </row>
    <row r="32" spans="1:23" x14ac:dyDescent="0.2">
      <c r="A32">
        <v>4541142</v>
      </c>
      <c r="B32" t="s">
        <v>81</v>
      </c>
      <c r="C32" s="121">
        <v>200000</v>
      </c>
      <c r="D32" s="114">
        <v>31</v>
      </c>
      <c r="E32" s="115">
        <f t="shared" si="2"/>
        <v>4541142</v>
      </c>
      <c r="F32" s="116" t="s">
        <v>289</v>
      </c>
      <c r="G32" s="116" t="s">
        <v>281</v>
      </c>
      <c r="H32" s="116" t="s">
        <v>282</v>
      </c>
      <c r="I32" s="117">
        <f t="shared" si="0"/>
        <v>200000</v>
      </c>
      <c r="J32" s="115" t="s">
        <v>283</v>
      </c>
      <c r="K32" s="118"/>
      <c r="L32" s="119"/>
      <c r="M32" s="119"/>
      <c r="N32" s="119"/>
      <c r="O32" s="119"/>
      <c r="P32" s="119"/>
      <c r="Q32" s="119"/>
      <c r="R32" s="119"/>
      <c r="S32" s="119"/>
      <c r="T32" s="119"/>
      <c r="U32" s="119"/>
      <c r="V32" s="119"/>
      <c r="W32" s="119">
        <f t="shared" si="1"/>
        <v>200000</v>
      </c>
    </row>
    <row r="33" spans="1:23" x14ac:dyDescent="0.2">
      <c r="A33">
        <v>4540708</v>
      </c>
      <c r="B33" t="s">
        <v>83</v>
      </c>
      <c r="C33" s="121">
        <v>200000</v>
      </c>
      <c r="D33" s="114">
        <v>32</v>
      </c>
      <c r="E33" s="115">
        <f t="shared" si="2"/>
        <v>4540708</v>
      </c>
      <c r="F33" s="116" t="s">
        <v>289</v>
      </c>
      <c r="G33" s="116" t="s">
        <v>281</v>
      </c>
      <c r="H33" s="116" t="s">
        <v>282</v>
      </c>
      <c r="I33" s="117">
        <f t="shared" si="0"/>
        <v>200000</v>
      </c>
      <c r="J33" s="115" t="s">
        <v>283</v>
      </c>
      <c r="K33" s="118"/>
      <c r="L33" s="119"/>
      <c r="M33" s="119"/>
      <c r="N33" s="119"/>
      <c r="O33" s="119"/>
      <c r="P33" s="119"/>
      <c r="Q33" s="119"/>
      <c r="R33" s="119"/>
      <c r="S33" s="119"/>
      <c r="T33" s="119"/>
      <c r="U33" s="119"/>
      <c r="V33" s="119"/>
      <c r="W33" s="119">
        <f t="shared" si="1"/>
        <v>200000</v>
      </c>
    </row>
    <row r="34" spans="1:23" x14ac:dyDescent="0.2">
      <c r="A34">
        <v>4518205</v>
      </c>
      <c r="B34" t="s">
        <v>251</v>
      </c>
      <c r="C34" s="121">
        <v>215000</v>
      </c>
      <c r="D34" s="114">
        <v>33</v>
      </c>
      <c r="E34" s="115">
        <f t="shared" si="2"/>
        <v>4518205</v>
      </c>
      <c r="F34" s="116" t="s">
        <v>286</v>
      </c>
      <c r="G34" s="116" t="s">
        <v>281</v>
      </c>
      <c r="H34" s="116" t="s">
        <v>282</v>
      </c>
      <c r="I34" s="117">
        <f t="shared" si="0"/>
        <v>215000</v>
      </c>
      <c r="J34" s="115" t="s">
        <v>283</v>
      </c>
      <c r="K34" s="118"/>
      <c r="L34" s="119"/>
      <c r="M34" s="119"/>
      <c r="N34" s="119"/>
      <c r="O34" s="119"/>
      <c r="P34" s="119"/>
      <c r="Q34" s="119"/>
      <c r="R34" s="119"/>
      <c r="S34" s="119"/>
      <c r="T34" s="119"/>
      <c r="U34" s="119"/>
      <c r="V34" s="119"/>
      <c r="W34" s="119">
        <f t="shared" si="1"/>
        <v>215000</v>
      </c>
    </row>
    <row r="35" spans="1:23" x14ac:dyDescent="0.2">
      <c r="A35">
        <v>4538468</v>
      </c>
      <c r="B35" t="s">
        <v>49</v>
      </c>
      <c r="C35" s="121">
        <v>285000</v>
      </c>
      <c r="D35" s="114">
        <v>34</v>
      </c>
      <c r="E35" s="115">
        <f t="shared" si="2"/>
        <v>4538468</v>
      </c>
      <c r="F35" s="116" t="s">
        <v>289</v>
      </c>
      <c r="G35" s="116" t="s">
        <v>281</v>
      </c>
      <c r="H35" s="116" t="s">
        <v>282</v>
      </c>
      <c r="I35" s="117">
        <f t="shared" si="0"/>
        <v>285000</v>
      </c>
      <c r="J35" s="115" t="s">
        <v>283</v>
      </c>
      <c r="K35" s="118"/>
      <c r="L35" s="119"/>
      <c r="M35" s="119"/>
      <c r="N35" s="119"/>
      <c r="O35" s="119"/>
      <c r="P35" s="119"/>
      <c r="Q35" s="119"/>
      <c r="R35" s="119"/>
      <c r="S35" s="119"/>
      <c r="T35" s="119"/>
      <c r="U35" s="119"/>
      <c r="V35" s="119"/>
      <c r="W35" s="119">
        <f t="shared" si="1"/>
        <v>285000</v>
      </c>
    </row>
    <row r="36" spans="1:23" x14ac:dyDescent="0.2">
      <c r="A36">
        <v>4541003</v>
      </c>
      <c r="B36" t="s">
        <v>45</v>
      </c>
      <c r="C36" s="121">
        <v>300000</v>
      </c>
      <c r="D36" s="114">
        <v>35</v>
      </c>
      <c r="E36" s="115">
        <f t="shared" si="2"/>
        <v>4541003</v>
      </c>
      <c r="F36" s="116" t="s">
        <v>289</v>
      </c>
      <c r="G36" s="116" t="s">
        <v>281</v>
      </c>
      <c r="H36" s="116" t="s">
        <v>282</v>
      </c>
      <c r="I36" s="117">
        <f t="shared" si="0"/>
        <v>300000</v>
      </c>
      <c r="J36" s="115" t="s">
        <v>283</v>
      </c>
      <c r="K36" s="118"/>
      <c r="L36" s="119"/>
      <c r="M36" s="119"/>
      <c r="N36" s="119"/>
      <c r="O36" s="119"/>
      <c r="P36" s="119"/>
      <c r="Q36" s="119"/>
      <c r="R36" s="119"/>
      <c r="S36" s="119"/>
      <c r="T36" s="119"/>
      <c r="U36" s="119"/>
      <c r="V36" s="119"/>
      <c r="W36" s="119">
        <f t="shared" si="1"/>
        <v>300000</v>
      </c>
    </row>
    <row r="37" spans="1:23" x14ac:dyDescent="0.2">
      <c r="A37">
        <v>4540855</v>
      </c>
      <c r="B37" t="s">
        <v>84</v>
      </c>
      <c r="C37" s="121">
        <v>351000</v>
      </c>
      <c r="D37" s="114">
        <v>36</v>
      </c>
      <c r="E37" s="115">
        <f t="shared" si="2"/>
        <v>4540855</v>
      </c>
      <c r="F37" s="116" t="s">
        <v>289</v>
      </c>
      <c r="G37" s="116" t="s">
        <v>281</v>
      </c>
      <c r="H37" s="116" t="s">
        <v>282</v>
      </c>
      <c r="I37" s="117">
        <f t="shared" si="0"/>
        <v>351000</v>
      </c>
      <c r="J37" s="115" t="s">
        <v>283</v>
      </c>
      <c r="K37" s="118"/>
      <c r="L37" s="119"/>
      <c r="M37" s="119"/>
      <c r="N37" s="119"/>
      <c r="O37" s="119"/>
      <c r="P37" s="119"/>
      <c r="Q37" s="119"/>
      <c r="R37" s="119"/>
      <c r="S37" s="119"/>
      <c r="T37" s="119"/>
      <c r="U37" s="119"/>
      <c r="V37" s="119"/>
      <c r="W37" s="119">
        <f t="shared" si="1"/>
        <v>351000</v>
      </c>
    </row>
    <row r="38" spans="1:23" x14ac:dyDescent="0.2">
      <c r="A38">
        <v>4548300</v>
      </c>
      <c r="B38" t="s">
        <v>98</v>
      </c>
      <c r="C38" s="121">
        <v>439726</v>
      </c>
      <c r="D38" s="114">
        <v>37</v>
      </c>
      <c r="E38" s="115">
        <f t="shared" si="2"/>
        <v>4548300</v>
      </c>
      <c r="F38" s="116" t="s">
        <v>289</v>
      </c>
      <c r="G38" s="116" t="s">
        <v>281</v>
      </c>
      <c r="H38" s="116" t="s">
        <v>282</v>
      </c>
      <c r="I38" s="117">
        <f t="shared" si="0"/>
        <v>439726</v>
      </c>
      <c r="J38" s="115" t="s">
        <v>283</v>
      </c>
      <c r="K38" s="118"/>
      <c r="L38" s="119"/>
      <c r="M38" s="119"/>
      <c r="N38" s="119"/>
      <c r="O38" s="119"/>
      <c r="P38" s="119"/>
      <c r="Q38" s="119"/>
      <c r="R38" s="119"/>
      <c r="S38" s="119"/>
      <c r="T38" s="119"/>
      <c r="U38" s="119"/>
      <c r="V38" s="119"/>
      <c r="W38" s="119">
        <f t="shared" si="1"/>
        <v>439726</v>
      </c>
    </row>
    <row r="39" spans="1:23" x14ac:dyDescent="0.2">
      <c r="A39">
        <v>4541430</v>
      </c>
      <c r="B39" t="s">
        <v>44</v>
      </c>
      <c r="C39" s="121">
        <v>629000</v>
      </c>
      <c r="D39" s="114">
        <v>38</v>
      </c>
      <c r="E39" s="115">
        <f t="shared" si="2"/>
        <v>4541430</v>
      </c>
      <c r="F39" s="116" t="s">
        <v>289</v>
      </c>
      <c r="G39" s="116" t="s">
        <v>281</v>
      </c>
      <c r="H39" s="116" t="s">
        <v>282</v>
      </c>
      <c r="I39" s="117">
        <f t="shared" si="0"/>
        <v>629000</v>
      </c>
      <c r="J39" s="115" t="s">
        <v>283</v>
      </c>
      <c r="K39" s="118"/>
      <c r="L39" s="119"/>
      <c r="M39" s="119"/>
      <c r="N39" s="119"/>
      <c r="O39" s="119"/>
      <c r="P39" s="119"/>
      <c r="Q39" s="119"/>
      <c r="R39" s="119"/>
      <c r="S39" s="119"/>
      <c r="T39" s="119"/>
      <c r="U39" s="119"/>
      <c r="V39" s="119"/>
      <c r="W39" s="119">
        <f t="shared" si="1"/>
        <v>629000</v>
      </c>
    </row>
    <row r="40" spans="1:23" x14ac:dyDescent="0.2">
      <c r="A40">
        <v>4540607</v>
      </c>
      <c r="B40" t="s">
        <v>78</v>
      </c>
      <c r="C40" s="121">
        <v>825290</v>
      </c>
      <c r="D40" s="114">
        <v>39</v>
      </c>
      <c r="E40" s="115">
        <f t="shared" si="2"/>
        <v>4540607</v>
      </c>
      <c r="F40" s="116" t="s">
        <v>289</v>
      </c>
      <c r="G40" s="116" t="s">
        <v>281</v>
      </c>
      <c r="H40" s="116" t="s">
        <v>282</v>
      </c>
      <c r="I40" s="117">
        <f t="shared" si="0"/>
        <v>825290</v>
      </c>
      <c r="J40" s="115" t="s">
        <v>283</v>
      </c>
      <c r="K40" s="118"/>
      <c r="L40" s="119"/>
      <c r="M40" s="119"/>
      <c r="N40" s="119"/>
      <c r="O40" s="119"/>
      <c r="P40" s="119"/>
      <c r="Q40" s="119"/>
      <c r="R40" s="119"/>
      <c r="S40" s="119"/>
      <c r="T40" s="119"/>
      <c r="U40" s="119"/>
      <c r="V40" s="119"/>
      <c r="W40" s="119">
        <f t="shared" si="1"/>
        <v>825290</v>
      </c>
    </row>
    <row r="41" spans="1:23" x14ac:dyDescent="0.2">
      <c r="A41">
        <v>4541420</v>
      </c>
      <c r="B41" t="s">
        <v>35</v>
      </c>
      <c r="C41" s="121">
        <v>1469432</v>
      </c>
      <c r="D41" s="114">
        <v>40</v>
      </c>
      <c r="E41" s="115">
        <f t="shared" si="2"/>
        <v>4541420</v>
      </c>
      <c r="F41" s="116" t="s">
        <v>289</v>
      </c>
      <c r="G41" s="116" t="s">
        <v>281</v>
      </c>
      <c r="H41" s="116" t="s">
        <v>282</v>
      </c>
      <c r="I41" s="117">
        <f t="shared" si="0"/>
        <v>1469432</v>
      </c>
      <c r="J41" s="115" t="s">
        <v>283</v>
      </c>
      <c r="K41" s="118"/>
      <c r="L41" s="119"/>
      <c r="M41" s="119"/>
      <c r="N41" s="119"/>
      <c r="O41" s="119"/>
      <c r="P41" s="119"/>
      <c r="Q41" s="119"/>
      <c r="R41" s="119"/>
      <c r="S41" s="119"/>
      <c r="T41" s="119"/>
      <c r="U41" s="119"/>
      <c r="V41" s="119"/>
      <c r="W41" s="119">
        <f t="shared" si="1"/>
        <v>1469432</v>
      </c>
    </row>
    <row r="42" spans="1:23" x14ac:dyDescent="0.2">
      <c r="A42">
        <v>4548473</v>
      </c>
      <c r="B42" t="s">
        <v>43</v>
      </c>
      <c r="C42" s="121">
        <v>2422769</v>
      </c>
      <c r="D42" s="114">
        <v>41</v>
      </c>
      <c r="E42" s="115">
        <f t="shared" si="2"/>
        <v>4548473</v>
      </c>
      <c r="F42" s="116" t="s">
        <v>289</v>
      </c>
      <c r="G42" s="116" t="s">
        <v>281</v>
      </c>
      <c r="H42" s="116" t="s">
        <v>282</v>
      </c>
      <c r="I42" s="117">
        <f t="shared" si="0"/>
        <v>2422769</v>
      </c>
      <c r="J42" s="115" t="s">
        <v>283</v>
      </c>
      <c r="K42" s="118"/>
      <c r="L42" s="119"/>
      <c r="M42" s="119"/>
      <c r="N42" s="119"/>
      <c r="O42" s="119"/>
      <c r="P42" s="119"/>
      <c r="Q42" s="119"/>
      <c r="R42" s="119"/>
      <c r="S42" s="119"/>
      <c r="T42" s="119"/>
      <c r="U42" s="119"/>
      <c r="V42" s="119"/>
      <c r="W42" s="119">
        <f t="shared" si="1"/>
        <v>2422769</v>
      </c>
    </row>
    <row r="43" spans="1:23" x14ac:dyDescent="0.2">
      <c r="A43">
        <v>4528400</v>
      </c>
      <c r="B43" t="s">
        <v>47</v>
      </c>
      <c r="C43" s="121">
        <v>3500000</v>
      </c>
      <c r="D43" s="114">
        <v>42</v>
      </c>
      <c r="E43" s="115">
        <f t="shared" si="2"/>
        <v>4528400</v>
      </c>
      <c r="F43" s="116" t="s">
        <v>288</v>
      </c>
      <c r="G43" s="116" t="s">
        <v>281</v>
      </c>
      <c r="H43" s="116" t="s">
        <v>282</v>
      </c>
      <c r="I43" s="117">
        <f t="shared" si="0"/>
        <v>3500000</v>
      </c>
      <c r="J43" s="115" t="s">
        <v>283</v>
      </c>
      <c r="K43" s="118"/>
      <c r="L43" s="119"/>
      <c r="M43" s="119"/>
      <c r="N43" s="119"/>
      <c r="O43" s="119"/>
      <c r="P43" s="119"/>
      <c r="Q43" s="119"/>
      <c r="R43" s="119"/>
      <c r="S43" s="119"/>
      <c r="T43" s="119"/>
      <c r="U43" s="119"/>
      <c r="V43" s="119"/>
      <c r="W43" s="119">
        <f t="shared" si="1"/>
        <v>3500000</v>
      </c>
    </row>
    <row r="44" spans="1:23" x14ac:dyDescent="0.2">
      <c r="A44">
        <v>4540490</v>
      </c>
      <c r="B44" t="s">
        <v>93</v>
      </c>
      <c r="C44" s="121">
        <v>4184145</v>
      </c>
      <c r="D44" s="114">
        <v>43</v>
      </c>
      <c r="E44" s="115">
        <f t="shared" si="2"/>
        <v>4540490</v>
      </c>
      <c r="F44" s="116" t="s">
        <v>289</v>
      </c>
      <c r="G44" s="116" t="s">
        <v>281</v>
      </c>
      <c r="H44" s="116" t="s">
        <v>282</v>
      </c>
      <c r="I44" s="117">
        <f t="shared" si="0"/>
        <v>4184145</v>
      </c>
      <c r="J44" s="115" t="s">
        <v>283</v>
      </c>
      <c r="K44" s="118"/>
      <c r="L44" s="119"/>
      <c r="M44" s="119"/>
      <c r="N44" s="119"/>
      <c r="O44" s="119"/>
      <c r="P44" s="119"/>
      <c r="Q44" s="119"/>
      <c r="R44" s="119"/>
      <c r="S44" s="119"/>
      <c r="T44" s="119"/>
      <c r="U44" s="119"/>
      <c r="V44" s="119"/>
      <c r="W44" s="119">
        <f t="shared" si="1"/>
        <v>4184145</v>
      </c>
    </row>
  </sheetData>
  <sheetProtection algorithmName="SHA-512" hashValue="uJvaRlb8YXu37njiKvMJpRjJHKcnm5RHB7zb1ZK3L4HBpWJjvoMy+AkQfAwzSXWzKsU9hxgYVw3mkZ7f7Jb4jA==" saltValue="PE3UEqmKD/9AK8kRRwAGqw==" spinCount="100000" sheet="1" objects="1" scenarios="1" selectLockedCells="1" selectUnlockedCells="1"/>
  <sortState xmlns:xlrd2="http://schemas.microsoft.com/office/spreadsheetml/2017/richdata2" ref="B41:C44">
    <sortCondition ref="C41:C44"/>
  </sortState>
  <phoneticPr fontId="6" type="noConversion"/>
  <dataValidations count="7">
    <dataValidation type="textLength" operator="equal" allowBlank="1" showInputMessage="1" showErrorMessage="1" errorTitle="Error" error="The Cost Centre must be 7 characters long." sqref="E3:E44" xr:uid="{16472E19-2BD5-4380-9720-765004735005}">
      <formula1>7</formula1>
    </dataValidation>
    <dataValidation type="textLength" operator="equal" allowBlank="1" showInputMessage="1" showErrorMessage="1" errorTitle="Error" error="The Subjective must be 5 _x000a_characters long." sqref="F2:F44" xr:uid="{BCC2BB43-8C82-4754-A218-054FB3BC1DA9}">
      <formula1>5</formula1>
    </dataValidation>
    <dataValidation type="textLength" operator="equal" allowBlank="1" showInputMessage="1" showErrorMessage="1" errorTitle="Error" error="The Subjective must be 2 _x000a_characters long." sqref="G2" xr:uid="{DB70CC27-49D6-48C4-9CB6-8DF3CB0D2CC3}">
      <formula1>2</formula1>
    </dataValidation>
    <dataValidation type="textLength" operator="equal" allowBlank="1" showInputMessage="1" showErrorMessage="1" errorTitle="Error" error="The Subjective must be 6 _x000a_characters long." sqref="H2" xr:uid="{18C8EB31-C699-4644-9B7F-27E139EACE5F}">
      <formula1>6</formula1>
    </dataValidation>
    <dataValidation type="textLength" operator="equal" allowBlank="1" showInputMessage="1" showErrorMessage="1" errorTitle="Error" error="The Geographic must be 2 _x000a_characters long." sqref="G3:G44" xr:uid="{0BA7F8C2-5097-4CB4-ABD6-E052ECCFC696}">
      <formula1>2</formula1>
    </dataValidation>
    <dataValidation type="textLength" operator="equal" allowBlank="1" showInputMessage="1" showErrorMessage="1" errorTitle="Error" error="The Project must be 6 _x000a_characters long." sqref="H3:H44" xr:uid="{BA130AC3-8313-4135-B583-34FE57D6352A}">
      <formula1>6</formula1>
    </dataValidation>
    <dataValidation type="list" allowBlank="1" showInputMessage="1" showErrorMessage="1" sqref="J3:J44" xr:uid="{AFB5D505-5E0D-49DB-9E67-45C4161341AC}">
      <formula1>$U$2:$U$6</formula1>
    </dataValidation>
  </dataValidations>
  <pageMargins left="0.7" right="0.7" top="0.75" bottom="0.75" header="0.3" footer="0.3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D9487-C495-4EC1-9123-CE6A43B9C8E8}">
  <dimension ref="A1:W59"/>
  <sheetViews>
    <sheetView tabSelected="1" workbookViewId="0">
      <selection activeCell="M9" sqref="M9"/>
    </sheetView>
  </sheetViews>
  <sheetFormatPr defaultRowHeight="12.75" x14ac:dyDescent="0.2"/>
  <cols>
    <col min="1" max="1" width="8.28515625" bestFit="1" customWidth="1"/>
    <col min="2" max="2" width="47.5703125" bestFit="1" customWidth="1"/>
    <col min="3" max="3" width="11.5703125" style="120" bestFit="1" customWidth="1"/>
    <col min="9" max="9" width="13.42578125" bestFit="1" customWidth="1"/>
    <col min="23" max="23" width="13.42578125" bestFit="1" customWidth="1"/>
  </cols>
  <sheetData>
    <row r="1" spans="1:23" x14ac:dyDescent="0.2">
      <c r="D1" s="108" t="s">
        <v>260</v>
      </c>
      <c r="E1" s="108" t="s">
        <v>259</v>
      </c>
      <c r="F1" s="108" t="s">
        <v>261</v>
      </c>
      <c r="G1" s="108" t="s">
        <v>262</v>
      </c>
      <c r="H1" s="108" t="s">
        <v>263</v>
      </c>
      <c r="I1" s="109" t="s">
        <v>264</v>
      </c>
      <c r="J1" s="108" t="s">
        <v>265</v>
      </c>
      <c r="K1" s="108" t="s">
        <v>266</v>
      </c>
      <c r="L1" s="109" t="s">
        <v>267</v>
      </c>
      <c r="M1" s="109" t="s">
        <v>268</v>
      </c>
      <c r="N1" s="109" t="s">
        <v>269</v>
      </c>
      <c r="O1" s="109" t="s">
        <v>270</v>
      </c>
      <c r="P1" s="109" t="s">
        <v>271</v>
      </c>
      <c r="Q1" s="109" t="s">
        <v>272</v>
      </c>
      <c r="R1" s="109" t="s">
        <v>273</v>
      </c>
      <c r="S1" s="109" t="s">
        <v>274</v>
      </c>
      <c r="T1" s="109" t="s">
        <v>275</v>
      </c>
      <c r="U1" s="109" t="s">
        <v>276</v>
      </c>
      <c r="V1" s="109" t="s">
        <v>277</v>
      </c>
      <c r="W1" s="109" t="s">
        <v>278</v>
      </c>
    </row>
    <row r="2" spans="1:23" x14ac:dyDescent="0.2">
      <c r="D2" s="110">
        <v>1</v>
      </c>
      <c r="E2" s="111" t="s">
        <v>279</v>
      </c>
      <c r="F2" s="112" t="s">
        <v>280</v>
      </c>
      <c r="G2" s="112" t="s">
        <v>281</v>
      </c>
      <c r="H2" s="112" t="s">
        <v>282</v>
      </c>
      <c r="I2" s="113">
        <f>-SUM(I3:I59)</f>
        <v>-25673506</v>
      </c>
      <c r="J2" s="111" t="s">
        <v>283</v>
      </c>
      <c r="K2" s="111" t="s">
        <v>284</v>
      </c>
      <c r="L2" s="113">
        <v>0</v>
      </c>
      <c r="M2" s="113">
        <v>0</v>
      </c>
      <c r="N2" s="113">
        <v>0</v>
      </c>
      <c r="O2" s="113">
        <v>0</v>
      </c>
      <c r="P2" s="113">
        <v>0</v>
      </c>
      <c r="Q2" s="113">
        <v>0</v>
      </c>
      <c r="R2" s="113">
        <v>0</v>
      </c>
      <c r="S2" s="113">
        <v>0</v>
      </c>
      <c r="T2" s="113">
        <v>0</v>
      </c>
      <c r="U2" s="113">
        <v>0</v>
      </c>
      <c r="V2" s="113">
        <v>0</v>
      </c>
      <c r="W2" s="113">
        <f>-SUM(W3:W59)</f>
        <v>-25673506</v>
      </c>
    </row>
    <row r="3" spans="1:23" x14ac:dyDescent="0.2">
      <c r="A3">
        <v>4518001</v>
      </c>
      <c r="B3" t="s">
        <v>290</v>
      </c>
      <c r="C3" s="120">
        <v>-251081</v>
      </c>
      <c r="D3" s="114">
        <v>2</v>
      </c>
      <c r="E3" s="115">
        <f>A3</f>
        <v>4518001</v>
      </c>
      <c r="F3" s="116" t="s">
        <v>285</v>
      </c>
      <c r="G3" s="116" t="s">
        <v>281</v>
      </c>
      <c r="H3" s="116" t="s">
        <v>282</v>
      </c>
      <c r="I3" s="117">
        <f>C3</f>
        <v>-251081</v>
      </c>
      <c r="J3" s="115" t="s">
        <v>283</v>
      </c>
      <c r="K3" s="118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>
        <f>I3</f>
        <v>-251081</v>
      </c>
    </row>
    <row r="4" spans="1:23" x14ac:dyDescent="0.2">
      <c r="A4">
        <v>4518019</v>
      </c>
      <c r="B4" t="s">
        <v>291</v>
      </c>
      <c r="C4" s="120">
        <v>53182</v>
      </c>
      <c r="D4" s="114">
        <v>3</v>
      </c>
      <c r="E4" s="115">
        <f t="shared" ref="E4:E59" si="0">A4</f>
        <v>4518019</v>
      </c>
      <c r="F4" s="116" t="s">
        <v>285</v>
      </c>
      <c r="G4" s="116" t="s">
        <v>281</v>
      </c>
      <c r="H4" s="116" t="s">
        <v>282</v>
      </c>
      <c r="I4" s="117">
        <f t="shared" ref="I4:I59" si="1">C4</f>
        <v>53182</v>
      </c>
      <c r="J4" s="115" t="s">
        <v>283</v>
      </c>
      <c r="K4" s="118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>
        <f t="shared" ref="W4:W59" si="2">I4</f>
        <v>53182</v>
      </c>
    </row>
    <row r="5" spans="1:23" x14ac:dyDescent="0.2">
      <c r="A5">
        <v>4518020</v>
      </c>
      <c r="B5" t="s">
        <v>58</v>
      </c>
      <c r="C5" s="120">
        <v>65000</v>
      </c>
      <c r="D5" s="114">
        <v>4</v>
      </c>
      <c r="E5" s="115">
        <f t="shared" si="0"/>
        <v>4518020</v>
      </c>
      <c r="F5" s="116" t="s">
        <v>285</v>
      </c>
      <c r="G5" s="116" t="s">
        <v>281</v>
      </c>
      <c r="H5" s="116" t="s">
        <v>282</v>
      </c>
      <c r="I5" s="117">
        <f t="shared" si="1"/>
        <v>65000</v>
      </c>
      <c r="J5" s="115" t="s">
        <v>283</v>
      </c>
      <c r="K5" s="118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>
        <f t="shared" si="2"/>
        <v>65000</v>
      </c>
    </row>
    <row r="6" spans="1:23" x14ac:dyDescent="0.2">
      <c r="A6">
        <v>4518025</v>
      </c>
      <c r="B6" t="s">
        <v>293</v>
      </c>
      <c r="C6" s="120">
        <v>1000</v>
      </c>
      <c r="D6" s="114">
        <v>5</v>
      </c>
      <c r="E6" s="115">
        <f t="shared" si="0"/>
        <v>4518025</v>
      </c>
      <c r="F6" s="116" t="s">
        <v>285</v>
      </c>
      <c r="G6" s="116" t="s">
        <v>281</v>
      </c>
      <c r="H6" s="116" t="s">
        <v>282</v>
      </c>
      <c r="I6" s="117">
        <f t="shared" si="1"/>
        <v>1000</v>
      </c>
      <c r="J6" s="115" t="s">
        <v>283</v>
      </c>
      <c r="K6" s="118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>
        <f t="shared" si="2"/>
        <v>1000</v>
      </c>
    </row>
    <row r="7" spans="1:23" x14ac:dyDescent="0.2">
      <c r="A7">
        <v>4518027</v>
      </c>
      <c r="B7" t="s">
        <v>294</v>
      </c>
      <c r="C7" s="120">
        <v>127580</v>
      </c>
      <c r="D7" s="114">
        <v>6</v>
      </c>
      <c r="E7" s="115">
        <f t="shared" si="0"/>
        <v>4518027</v>
      </c>
      <c r="F7" s="116" t="s">
        <v>285</v>
      </c>
      <c r="G7" s="116" t="s">
        <v>281</v>
      </c>
      <c r="H7" s="116" t="s">
        <v>282</v>
      </c>
      <c r="I7" s="117">
        <f t="shared" si="1"/>
        <v>127580</v>
      </c>
      <c r="J7" s="115" t="s">
        <v>283</v>
      </c>
      <c r="K7" s="118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>
        <f t="shared" si="2"/>
        <v>127580</v>
      </c>
    </row>
    <row r="8" spans="1:23" x14ac:dyDescent="0.2">
      <c r="A8">
        <v>4518039</v>
      </c>
      <c r="B8" t="s">
        <v>295</v>
      </c>
      <c r="C8" s="120">
        <v>109000</v>
      </c>
      <c r="D8" s="114">
        <v>7</v>
      </c>
      <c r="E8" s="115">
        <f t="shared" si="0"/>
        <v>4518039</v>
      </c>
      <c r="F8" s="116" t="s">
        <v>285</v>
      </c>
      <c r="G8" s="116" t="s">
        <v>281</v>
      </c>
      <c r="H8" s="116" t="s">
        <v>282</v>
      </c>
      <c r="I8" s="117">
        <f t="shared" si="1"/>
        <v>109000</v>
      </c>
      <c r="J8" s="115" t="s">
        <v>283</v>
      </c>
      <c r="K8" s="118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>
        <f t="shared" si="2"/>
        <v>109000</v>
      </c>
    </row>
    <row r="9" spans="1:23" x14ac:dyDescent="0.2">
      <c r="A9">
        <v>4518042</v>
      </c>
      <c r="B9" t="s">
        <v>50</v>
      </c>
      <c r="C9" s="120">
        <v>18492</v>
      </c>
      <c r="D9" s="114">
        <v>8</v>
      </c>
      <c r="E9" s="115">
        <f t="shared" si="0"/>
        <v>4518042</v>
      </c>
      <c r="F9" s="116" t="s">
        <v>285</v>
      </c>
      <c r="G9" s="116" t="s">
        <v>281</v>
      </c>
      <c r="H9" s="116" t="s">
        <v>282</v>
      </c>
      <c r="I9" s="117">
        <f t="shared" si="1"/>
        <v>18492</v>
      </c>
      <c r="J9" s="115" t="s">
        <v>283</v>
      </c>
      <c r="K9" s="118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>
        <f t="shared" si="2"/>
        <v>18492</v>
      </c>
    </row>
    <row r="10" spans="1:23" x14ac:dyDescent="0.2">
      <c r="A10">
        <v>4518047</v>
      </c>
      <c r="B10" t="s">
        <v>13</v>
      </c>
      <c r="C10" s="120">
        <v>559186</v>
      </c>
      <c r="D10" s="114">
        <v>9</v>
      </c>
      <c r="E10" s="115">
        <f t="shared" si="0"/>
        <v>4518047</v>
      </c>
      <c r="F10" s="116" t="s">
        <v>285</v>
      </c>
      <c r="G10" s="116" t="s">
        <v>281</v>
      </c>
      <c r="H10" s="116" t="s">
        <v>282</v>
      </c>
      <c r="I10" s="117">
        <f t="shared" si="1"/>
        <v>559186</v>
      </c>
      <c r="J10" s="115" t="s">
        <v>283</v>
      </c>
      <c r="K10" s="118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>
        <f t="shared" si="2"/>
        <v>559186</v>
      </c>
    </row>
    <row r="11" spans="1:23" x14ac:dyDescent="0.2">
      <c r="A11">
        <v>4518048</v>
      </c>
      <c r="B11" t="s">
        <v>257</v>
      </c>
      <c r="C11" s="120">
        <v>12000</v>
      </c>
      <c r="D11" s="114">
        <v>10</v>
      </c>
      <c r="E11" s="115">
        <f t="shared" si="0"/>
        <v>4518048</v>
      </c>
      <c r="F11" s="116" t="s">
        <v>285</v>
      </c>
      <c r="G11" s="116" t="s">
        <v>281</v>
      </c>
      <c r="H11" s="116" t="s">
        <v>282</v>
      </c>
      <c r="I11" s="117">
        <f t="shared" si="1"/>
        <v>12000</v>
      </c>
      <c r="J11" s="115" t="s">
        <v>283</v>
      </c>
      <c r="K11" s="118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>
        <f t="shared" si="2"/>
        <v>12000</v>
      </c>
    </row>
    <row r="12" spans="1:23" x14ac:dyDescent="0.2">
      <c r="A12">
        <v>4518050</v>
      </c>
      <c r="B12" t="s">
        <v>296</v>
      </c>
      <c r="C12" s="120">
        <v>-1185</v>
      </c>
      <c r="D12" s="114">
        <v>11</v>
      </c>
      <c r="E12" s="115">
        <f t="shared" si="0"/>
        <v>4518050</v>
      </c>
      <c r="F12" s="116" t="s">
        <v>285</v>
      </c>
      <c r="G12" s="116" t="s">
        <v>281</v>
      </c>
      <c r="H12" s="116" t="s">
        <v>282</v>
      </c>
      <c r="I12" s="117">
        <f t="shared" si="1"/>
        <v>-1185</v>
      </c>
      <c r="J12" s="115" t="s">
        <v>283</v>
      </c>
      <c r="K12" s="118"/>
      <c r="L12" s="119"/>
      <c r="M12" s="119"/>
      <c r="N12" s="119"/>
      <c r="O12" s="119"/>
      <c r="P12" s="119"/>
      <c r="Q12" s="119"/>
      <c r="R12" s="119"/>
      <c r="S12" s="119"/>
      <c r="T12" s="119"/>
      <c r="U12" s="119"/>
      <c r="V12" s="119"/>
      <c r="W12" s="119">
        <f t="shared" si="2"/>
        <v>-1185</v>
      </c>
    </row>
    <row r="13" spans="1:23" x14ac:dyDescent="0.2">
      <c r="A13">
        <v>4518051</v>
      </c>
      <c r="B13" t="s">
        <v>20</v>
      </c>
      <c r="C13" s="120">
        <v>24723</v>
      </c>
      <c r="D13" s="114">
        <v>12</v>
      </c>
      <c r="E13" s="115">
        <f t="shared" si="0"/>
        <v>4518051</v>
      </c>
      <c r="F13" s="116" t="s">
        <v>285</v>
      </c>
      <c r="G13" s="116" t="s">
        <v>281</v>
      </c>
      <c r="H13" s="116" t="s">
        <v>282</v>
      </c>
      <c r="I13" s="117">
        <f t="shared" si="1"/>
        <v>24723</v>
      </c>
      <c r="J13" s="115" t="s">
        <v>283</v>
      </c>
      <c r="K13" s="118"/>
      <c r="L13" s="119"/>
      <c r="M13" s="119"/>
      <c r="N13" s="119"/>
      <c r="O13" s="119"/>
      <c r="P13" s="119"/>
      <c r="Q13" s="119"/>
      <c r="R13" s="119"/>
      <c r="S13" s="119"/>
      <c r="T13" s="119"/>
      <c r="U13" s="119"/>
      <c r="V13" s="119"/>
      <c r="W13" s="119">
        <f t="shared" si="2"/>
        <v>24723</v>
      </c>
    </row>
    <row r="14" spans="1:23" x14ac:dyDescent="0.2">
      <c r="A14">
        <v>4518053</v>
      </c>
      <c r="B14" t="s">
        <v>297</v>
      </c>
      <c r="C14" s="120">
        <v>17000</v>
      </c>
      <c r="D14" s="114">
        <v>13</v>
      </c>
      <c r="E14" s="115">
        <f t="shared" si="0"/>
        <v>4518053</v>
      </c>
      <c r="F14" s="116" t="s">
        <v>285</v>
      </c>
      <c r="G14" s="116" t="s">
        <v>281</v>
      </c>
      <c r="H14" s="116" t="s">
        <v>282</v>
      </c>
      <c r="I14" s="117">
        <f t="shared" si="1"/>
        <v>17000</v>
      </c>
      <c r="J14" s="115" t="s">
        <v>283</v>
      </c>
      <c r="K14" s="118"/>
      <c r="L14" s="119"/>
      <c r="M14" s="119"/>
      <c r="N14" s="119"/>
      <c r="O14" s="119"/>
      <c r="P14" s="119"/>
      <c r="Q14" s="119"/>
      <c r="R14" s="119"/>
      <c r="S14" s="119"/>
      <c r="T14" s="119"/>
      <c r="U14" s="119"/>
      <c r="V14" s="119"/>
      <c r="W14" s="119">
        <f t="shared" si="2"/>
        <v>17000</v>
      </c>
    </row>
    <row r="15" spans="1:23" x14ac:dyDescent="0.2">
      <c r="A15">
        <v>4518055</v>
      </c>
      <c r="B15" t="s">
        <v>18</v>
      </c>
      <c r="C15" s="120">
        <v>5387</v>
      </c>
      <c r="D15" s="114">
        <v>14</v>
      </c>
      <c r="E15" s="115">
        <f t="shared" si="0"/>
        <v>4518055</v>
      </c>
      <c r="F15" s="116" t="s">
        <v>285</v>
      </c>
      <c r="G15" s="116" t="s">
        <v>281</v>
      </c>
      <c r="H15" s="116" t="s">
        <v>282</v>
      </c>
      <c r="I15" s="117">
        <f t="shared" si="1"/>
        <v>5387</v>
      </c>
      <c r="J15" s="115" t="s">
        <v>283</v>
      </c>
      <c r="K15" s="118"/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  <c r="W15" s="119">
        <f t="shared" si="2"/>
        <v>5387</v>
      </c>
    </row>
    <row r="16" spans="1:23" x14ac:dyDescent="0.2">
      <c r="A16">
        <v>4518057</v>
      </c>
      <c r="B16" t="s">
        <v>31</v>
      </c>
      <c r="C16" s="120">
        <v>248000</v>
      </c>
      <c r="D16" s="114">
        <v>15</v>
      </c>
      <c r="E16" s="115">
        <f t="shared" si="0"/>
        <v>4518057</v>
      </c>
      <c r="F16" s="116" t="s">
        <v>285</v>
      </c>
      <c r="G16" s="116" t="s">
        <v>281</v>
      </c>
      <c r="H16" s="116" t="s">
        <v>282</v>
      </c>
      <c r="I16" s="117">
        <f t="shared" si="1"/>
        <v>248000</v>
      </c>
      <c r="J16" s="115" t="s">
        <v>283</v>
      </c>
      <c r="K16" s="118"/>
      <c r="L16" s="119"/>
      <c r="M16" s="119"/>
      <c r="N16" s="119"/>
      <c r="O16" s="119"/>
      <c r="P16" s="119"/>
      <c r="Q16" s="119"/>
      <c r="R16" s="119"/>
      <c r="S16" s="119"/>
      <c r="T16" s="119"/>
      <c r="U16" s="119"/>
      <c r="V16" s="119"/>
      <c r="W16" s="119">
        <f t="shared" si="2"/>
        <v>248000</v>
      </c>
    </row>
    <row r="17" spans="1:23" x14ac:dyDescent="0.2">
      <c r="A17">
        <v>4518058</v>
      </c>
      <c r="B17" t="s">
        <v>19</v>
      </c>
      <c r="C17" s="120">
        <v>15000</v>
      </c>
      <c r="D17" s="114">
        <v>16</v>
      </c>
      <c r="E17" s="115">
        <f t="shared" si="0"/>
        <v>4518058</v>
      </c>
      <c r="F17" s="116" t="s">
        <v>285</v>
      </c>
      <c r="G17" s="116" t="s">
        <v>281</v>
      </c>
      <c r="H17" s="116" t="s">
        <v>282</v>
      </c>
      <c r="I17" s="117"/>
      <c r="J17" s="115" t="s">
        <v>283</v>
      </c>
      <c r="K17" s="118"/>
      <c r="L17" s="119"/>
      <c r="M17" s="119"/>
      <c r="N17" s="119"/>
      <c r="O17" s="119"/>
      <c r="P17" s="119"/>
      <c r="Q17" s="119"/>
      <c r="R17" s="119"/>
      <c r="S17" s="119"/>
      <c r="T17" s="119"/>
      <c r="U17" s="119"/>
      <c r="V17" s="119"/>
      <c r="W17" s="119">
        <f t="shared" si="2"/>
        <v>0</v>
      </c>
    </row>
    <row r="18" spans="1:23" x14ac:dyDescent="0.2">
      <c r="A18">
        <v>4518200</v>
      </c>
      <c r="B18" t="s">
        <v>302</v>
      </c>
      <c r="C18" s="120">
        <v>-122282</v>
      </c>
      <c r="D18" s="114">
        <v>17</v>
      </c>
      <c r="E18" s="115">
        <f t="shared" si="0"/>
        <v>4518200</v>
      </c>
      <c r="F18" s="116" t="s">
        <v>285</v>
      </c>
      <c r="G18" s="116" t="s">
        <v>281</v>
      </c>
      <c r="H18" s="116" t="s">
        <v>282</v>
      </c>
      <c r="I18" s="117">
        <f t="shared" si="1"/>
        <v>-122282</v>
      </c>
      <c r="J18" s="115" t="s">
        <v>283</v>
      </c>
      <c r="K18" s="118"/>
      <c r="L18" s="119"/>
      <c r="M18" s="119"/>
      <c r="N18" s="119"/>
      <c r="O18" s="119"/>
      <c r="P18" s="119"/>
      <c r="Q18" s="119"/>
      <c r="R18" s="119"/>
      <c r="S18" s="119"/>
      <c r="T18" s="119"/>
      <c r="U18" s="119"/>
      <c r="V18" s="119"/>
      <c r="W18" s="119">
        <f t="shared" si="2"/>
        <v>-122282</v>
      </c>
    </row>
    <row r="19" spans="1:23" x14ac:dyDescent="0.2">
      <c r="A19">
        <v>4518205</v>
      </c>
      <c r="B19" t="s">
        <v>309</v>
      </c>
      <c r="C19" s="120">
        <v>361000</v>
      </c>
      <c r="D19" s="114">
        <v>18</v>
      </c>
      <c r="E19" s="115">
        <f t="shared" si="0"/>
        <v>4518205</v>
      </c>
      <c r="F19" s="116" t="s">
        <v>285</v>
      </c>
      <c r="G19" s="116" t="s">
        <v>281</v>
      </c>
      <c r="H19" s="116" t="s">
        <v>282</v>
      </c>
      <c r="I19" s="117">
        <f t="shared" si="1"/>
        <v>361000</v>
      </c>
      <c r="J19" s="115" t="s">
        <v>283</v>
      </c>
      <c r="K19" s="118"/>
      <c r="L19" s="119"/>
      <c r="M19" s="119"/>
      <c r="N19" s="119"/>
      <c r="O19" s="119"/>
      <c r="P19" s="119"/>
      <c r="Q19" s="119"/>
      <c r="R19" s="119"/>
      <c r="S19" s="119"/>
      <c r="T19" s="119"/>
      <c r="U19" s="119"/>
      <c r="V19" s="119"/>
      <c r="W19" s="119">
        <f t="shared" si="2"/>
        <v>361000</v>
      </c>
    </row>
    <row r="20" spans="1:23" x14ac:dyDescent="0.2">
      <c r="A20">
        <v>4518218</v>
      </c>
      <c r="B20" t="s">
        <v>303</v>
      </c>
      <c r="C20" s="120">
        <v>66780</v>
      </c>
      <c r="D20" s="114">
        <v>19</v>
      </c>
      <c r="E20" s="115">
        <f t="shared" si="0"/>
        <v>4518218</v>
      </c>
      <c r="F20" s="116" t="s">
        <v>285</v>
      </c>
      <c r="G20" s="116" t="s">
        <v>281</v>
      </c>
      <c r="H20" s="116" t="s">
        <v>282</v>
      </c>
      <c r="I20" s="117">
        <f t="shared" si="1"/>
        <v>66780</v>
      </c>
      <c r="J20" s="115" t="s">
        <v>283</v>
      </c>
      <c r="K20" s="118"/>
      <c r="L20" s="119"/>
      <c r="M20" s="119"/>
      <c r="N20" s="119"/>
      <c r="O20" s="119"/>
      <c r="P20" s="119"/>
      <c r="Q20" s="119"/>
      <c r="R20" s="119"/>
      <c r="S20" s="119"/>
      <c r="T20" s="119"/>
      <c r="U20" s="119"/>
      <c r="V20" s="119"/>
      <c r="W20" s="119">
        <f t="shared" si="2"/>
        <v>66780</v>
      </c>
    </row>
    <row r="21" spans="1:23" x14ac:dyDescent="0.2">
      <c r="A21">
        <v>4518221</v>
      </c>
      <c r="B21" t="s">
        <v>310</v>
      </c>
      <c r="C21" s="120">
        <v>134000</v>
      </c>
      <c r="D21" s="114">
        <v>20</v>
      </c>
      <c r="E21" s="115">
        <f t="shared" si="0"/>
        <v>4518221</v>
      </c>
      <c r="F21" s="116" t="s">
        <v>285</v>
      </c>
      <c r="G21" s="116" t="s">
        <v>281</v>
      </c>
      <c r="H21" s="116" t="s">
        <v>282</v>
      </c>
      <c r="I21" s="117">
        <f t="shared" si="1"/>
        <v>134000</v>
      </c>
      <c r="J21" s="115" t="s">
        <v>283</v>
      </c>
      <c r="K21" s="118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19"/>
      <c r="W21" s="119">
        <f t="shared" si="2"/>
        <v>134000</v>
      </c>
    </row>
    <row r="22" spans="1:23" x14ac:dyDescent="0.2">
      <c r="A22">
        <v>4518227</v>
      </c>
      <c r="B22" t="s">
        <v>304</v>
      </c>
      <c r="C22" s="120">
        <v>272000</v>
      </c>
      <c r="D22" s="114">
        <v>21</v>
      </c>
      <c r="E22" s="115">
        <f t="shared" si="0"/>
        <v>4518227</v>
      </c>
      <c r="F22" s="116" t="s">
        <v>285</v>
      </c>
      <c r="G22" s="116" t="s">
        <v>281</v>
      </c>
      <c r="H22" s="116" t="s">
        <v>282</v>
      </c>
      <c r="I22" s="117">
        <f t="shared" si="1"/>
        <v>272000</v>
      </c>
      <c r="J22" s="115" t="s">
        <v>283</v>
      </c>
      <c r="K22" s="118"/>
      <c r="L22" s="119"/>
      <c r="M22" s="119"/>
      <c r="N22" s="119"/>
      <c r="O22" s="119"/>
      <c r="P22" s="119"/>
      <c r="Q22" s="119"/>
      <c r="R22" s="119"/>
      <c r="S22" s="119"/>
      <c r="T22" s="119"/>
      <c r="U22" s="119"/>
      <c r="V22" s="119"/>
      <c r="W22" s="119">
        <f t="shared" si="2"/>
        <v>272000</v>
      </c>
    </row>
    <row r="23" spans="1:23" x14ac:dyDescent="0.2">
      <c r="A23">
        <v>4518233</v>
      </c>
      <c r="B23" t="s">
        <v>29</v>
      </c>
      <c r="C23" s="120">
        <v>92408.999999999971</v>
      </c>
      <c r="D23" s="114">
        <v>22</v>
      </c>
      <c r="E23" s="115">
        <f t="shared" si="0"/>
        <v>4518233</v>
      </c>
      <c r="F23" s="116" t="s">
        <v>285</v>
      </c>
      <c r="G23" s="116" t="s">
        <v>281</v>
      </c>
      <c r="H23" s="116" t="s">
        <v>282</v>
      </c>
      <c r="I23" s="117">
        <f t="shared" si="1"/>
        <v>92408.999999999971</v>
      </c>
      <c r="J23" s="115" t="s">
        <v>283</v>
      </c>
      <c r="K23" s="118"/>
      <c r="L23" s="119"/>
      <c r="M23" s="119"/>
      <c r="N23" s="119"/>
      <c r="O23" s="119"/>
      <c r="P23" s="119"/>
      <c r="Q23" s="119"/>
      <c r="R23" s="119"/>
      <c r="S23" s="119"/>
      <c r="T23" s="119"/>
      <c r="U23" s="119"/>
      <c r="V23" s="119"/>
      <c r="W23" s="119">
        <f t="shared" si="2"/>
        <v>92408.999999999971</v>
      </c>
    </row>
    <row r="24" spans="1:23" x14ac:dyDescent="0.2">
      <c r="A24">
        <v>4528400</v>
      </c>
      <c r="B24" t="s">
        <v>311</v>
      </c>
      <c r="C24" s="120">
        <v>1731315</v>
      </c>
      <c r="D24" s="114">
        <v>23</v>
      </c>
      <c r="E24" s="115">
        <f t="shared" si="0"/>
        <v>4528400</v>
      </c>
      <c r="F24" s="116" t="s">
        <v>285</v>
      </c>
      <c r="G24" s="116" t="s">
        <v>281</v>
      </c>
      <c r="H24" s="116" t="s">
        <v>282</v>
      </c>
      <c r="I24" s="117">
        <f t="shared" si="1"/>
        <v>1731315</v>
      </c>
      <c r="J24" s="115" t="s">
        <v>283</v>
      </c>
      <c r="K24" s="118"/>
      <c r="L24" s="119"/>
      <c r="M24" s="119"/>
      <c r="N24" s="119"/>
      <c r="O24" s="119"/>
      <c r="P24" s="119"/>
      <c r="Q24" s="119"/>
      <c r="R24" s="119"/>
      <c r="S24" s="119"/>
      <c r="T24" s="119"/>
      <c r="U24" s="119"/>
      <c r="V24" s="119"/>
      <c r="W24" s="119">
        <f t="shared" si="2"/>
        <v>1731315</v>
      </c>
    </row>
    <row r="25" spans="1:23" x14ac:dyDescent="0.2">
      <c r="A25">
        <v>4538461</v>
      </c>
      <c r="B25" t="s">
        <v>312</v>
      </c>
      <c r="C25" s="120">
        <v>49016</v>
      </c>
      <c r="D25" s="114">
        <v>24</v>
      </c>
      <c r="E25" s="115">
        <f t="shared" si="0"/>
        <v>4538461</v>
      </c>
      <c r="F25" s="116" t="s">
        <v>285</v>
      </c>
      <c r="G25" s="116" t="s">
        <v>281</v>
      </c>
      <c r="H25" s="116" t="s">
        <v>282</v>
      </c>
      <c r="I25" s="117">
        <f t="shared" si="1"/>
        <v>49016</v>
      </c>
      <c r="J25" s="115" t="s">
        <v>283</v>
      </c>
      <c r="K25" s="118"/>
      <c r="L25" s="119"/>
      <c r="M25" s="119"/>
      <c r="N25" s="119"/>
      <c r="O25" s="119"/>
      <c r="P25" s="119"/>
      <c r="Q25" s="119"/>
      <c r="R25" s="119"/>
      <c r="S25" s="119"/>
      <c r="T25" s="119"/>
      <c r="U25" s="119"/>
      <c r="V25" s="119"/>
      <c r="W25" s="119">
        <f t="shared" si="2"/>
        <v>49016</v>
      </c>
    </row>
    <row r="26" spans="1:23" x14ac:dyDescent="0.2">
      <c r="A26">
        <v>4538466</v>
      </c>
      <c r="B26" t="s">
        <v>313</v>
      </c>
      <c r="C26" s="120">
        <v>34320</v>
      </c>
      <c r="D26" s="114">
        <v>25</v>
      </c>
      <c r="E26" s="115">
        <f t="shared" si="0"/>
        <v>4538466</v>
      </c>
      <c r="F26" s="116" t="s">
        <v>285</v>
      </c>
      <c r="G26" s="116" t="s">
        <v>281</v>
      </c>
      <c r="H26" s="116" t="s">
        <v>282</v>
      </c>
      <c r="I26" s="117">
        <f t="shared" si="1"/>
        <v>34320</v>
      </c>
      <c r="J26" s="115" t="s">
        <v>283</v>
      </c>
      <c r="K26" s="118"/>
      <c r="L26" s="119"/>
      <c r="M26" s="119"/>
      <c r="N26" s="119"/>
      <c r="O26" s="119"/>
      <c r="P26" s="119"/>
      <c r="Q26" s="119"/>
      <c r="R26" s="119"/>
      <c r="S26" s="119"/>
      <c r="T26" s="119"/>
      <c r="U26" s="119"/>
      <c r="V26" s="119"/>
      <c r="W26" s="119">
        <f t="shared" si="2"/>
        <v>34320</v>
      </c>
    </row>
    <row r="27" spans="1:23" x14ac:dyDescent="0.2">
      <c r="A27">
        <v>4538467</v>
      </c>
      <c r="B27" t="s">
        <v>314</v>
      </c>
      <c r="C27" s="120">
        <v>9162</v>
      </c>
      <c r="D27" s="114">
        <v>26</v>
      </c>
      <c r="E27" s="115">
        <f t="shared" si="0"/>
        <v>4538467</v>
      </c>
      <c r="F27" s="116" t="s">
        <v>285</v>
      </c>
      <c r="G27" s="116" t="s">
        <v>281</v>
      </c>
      <c r="H27" s="116" t="s">
        <v>282</v>
      </c>
      <c r="I27" s="117">
        <f t="shared" si="1"/>
        <v>9162</v>
      </c>
      <c r="J27" s="115" t="s">
        <v>283</v>
      </c>
      <c r="K27" s="118"/>
      <c r="L27" s="119"/>
      <c r="M27" s="119"/>
      <c r="N27" s="119"/>
      <c r="O27" s="119"/>
      <c r="P27" s="119"/>
      <c r="Q27" s="119"/>
      <c r="R27" s="119"/>
      <c r="S27" s="119"/>
      <c r="T27" s="119"/>
      <c r="U27" s="119"/>
      <c r="V27" s="119"/>
      <c r="W27" s="119">
        <f t="shared" si="2"/>
        <v>9162</v>
      </c>
    </row>
    <row r="28" spans="1:23" x14ac:dyDescent="0.2">
      <c r="A28">
        <v>4538468</v>
      </c>
      <c r="B28" t="s">
        <v>315</v>
      </c>
      <c r="C28" s="120">
        <v>20215</v>
      </c>
      <c r="D28" s="114">
        <v>27</v>
      </c>
      <c r="E28" s="115">
        <f t="shared" si="0"/>
        <v>4538468</v>
      </c>
      <c r="F28" s="116" t="s">
        <v>285</v>
      </c>
      <c r="G28" s="116" t="s">
        <v>281</v>
      </c>
      <c r="H28" s="116" t="s">
        <v>282</v>
      </c>
      <c r="I28" s="117">
        <f t="shared" si="1"/>
        <v>20215</v>
      </c>
      <c r="J28" s="115" t="s">
        <v>283</v>
      </c>
      <c r="K28" s="118"/>
      <c r="L28" s="119"/>
      <c r="M28" s="119"/>
      <c r="N28" s="119"/>
      <c r="O28" s="119"/>
      <c r="P28" s="119"/>
      <c r="Q28" s="119"/>
      <c r="R28" s="119"/>
      <c r="S28" s="119"/>
      <c r="T28" s="119"/>
      <c r="U28" s="119"/>
      <c r="V28" s="119"/>
      <c r="W28" s="119">
        <f t="shared" si="2"/>
        <v>20215</v>
      </c>
    </row>
    <row r="29" spans="1:23" x14ac:dyDescent="0.2">
      <c r="A29">
        <v>4538469</v>
      </c>
      <c r="B29" t="s">
        <v>136</v>
      </c>
      <c r="C29" s="120">
        <v>-7062</v>
      </c>
      <c r="D29" s="114">
        <v>28</v>
      </c>
      <c r="E29" s="115">
        <f t="shared" si="0"/>
        <v>4538469</v>
      </c>
      <c r="F29" s="116" t="s">
        <v>285</v>
      </c>
      <c r="G29" s="116" t="s">
        <v>281</v>
      </c>
      <c r="H29" s="116" t="s">
        <v>282</v>
      </c>
      <c r="I29" s="117">
        <f t="shared" si="1"/>
        <v>-7062</v>
      </c>
      <c r="J29" s="115" t="s">
        <v>283</v>
      </c>
      <c r="K29" s="118"/>
      <c r="L29" s="119"/>
      <c r="M29" s="119"/>
      <c r="N29" s="119"/>
      <c r="O29" s="119"/>
      <c r="P29" s="119"/>
      <c r="Q29" s="119"/>
      <c r="R29" s="119"/>
      <c r="S29" s="119"/>
      <c r="T29" s="119"/>
      <c r="U29" s="119"/>
      <c r="V29" s="119"/>
      <c r="W29" s="119">
        <f t="shared" si="2"/>
        <v>-7062</v>
      </c>
    </row>
    <row r="30" spans="1:23" x14ac:dyDescent="0.2">
      <c r="A30">
        <v>4538471</v>
      </c>
      <c r="B30" t="s">
        <v>316</v>
      </c>
      <c r="C30" s="120">
        <v>17000</v>
      </c>
      <c r="D30" s="114">
        <v>29</v>
      </c>
      <c r="E30" s="115">
        <f t="shared" si="0"/>
        <v>4538471</v>
      </c>
      <c r="F30" s="116" t="s">
        <v>285</v>
      </c>
      <c r="G30" s="116" t="s">
        <v>281</v>
      </c>
      <c r="H30" s="116" t="s">
        <v>282</v>
      </c>
      <c r="I30" s="117">
        <f t="shared" si="1"/>
        <v>17000</v>
      </c>
      <c r="J30" s="115" t="s">
        <v>283</v>
      </c>
      <c r="K30" s="118"/>
      <c r="L30" s="119"/>
      <c r="M30" s="119"/>
      <c r="N30" s="119"/>
      <c r="O30" s="119"/>
      <c r="P30" s="119"/>
      <c r="Q30" s="119"/>
      <c r="R30" s="119"/>
      <c r="S30" s="119"/>
      <c r="T30" s="119"/>
      <c r="U30" s="119"/>
      <c r="V30" s="119"/>
      <c r="W30" s="119">
        <f t="shared" si="2"/>
        <v>17000</v>
      </c>
    </row>
    <row r="31" spans="1:23" x14ac:dyDescent="0.2">
      <c r="A31">
        <v>4540022</v>
      </c>
      <c r="B31" t="s">
        <v>317</v>
      </c>
      <c r="C31" s="120">
        <v>20537</v>
      </c>
      <c r="D31" s="114">
        <v>30</v>
      </c>
      <c r="E31" s="115">
        <f t="shared" si="0"/>
        <v>4540022</v>
      </c>
      <c r="F31" s="116" t="s">
        <v>285</v>
      </c>
      <c r="G31" s="116" t="s">
        <v>281</v>
      </c>
      <c r="H31" s="116" t="s">
        <v>282</v>
      </c>
      <c r="I31" s="117">
        <f t="shared" si="1"/>
        <v>20537</v>
      </c>
      <c r="J31" s="115" t="s">
        <v>283</v>
      </c>
      <c r="K31" s="118"/>
      <c r="L31" s="119"/>
      <c r="M31" s="119"/>
      <c r="N31" s="119"/>
      <c r="O31" s="119"/>
      <c r="P31" s="119"/>
      <c r="Q31" s="119"/>
      <c r="R31" s="119"/>
      <c r="S31" s="119"/>
      <c r="T31" s="119"/>
      <c r="U31" s="119"/>
      <c r="V31" s="119"/>
      <c r="W31" s="119">
        <f t="shared" si="2"/>
        <v>20537</v>
      </c>
    </row>
    <row r="32" spans="1:23" x14ac:dyDescent="0.2">
      <c r="A32">
        <v>4540035</v>
      </c>
      <c r="B32" t="s">
        <v>318</v>
      </c>
      <c r="C32" s="120">
        <v>7000</v>
      </c>
      <c r="D32" s="114">
        <v>31</v>
      </c>
      <c r="E32" s="115">
        <f t="shared" si="0"/>
        <v>4540035</v>
      </c>
      <c r="F32" s="116" t="s">
        <v>285</v>
      </c>
      <c r="G32" s="116" t="s">
        <v>281</v>
      </c>
      <c r="H32" s="116" t="s">
        <v>282</v>
      </c>
      <c r="I32" s="117">
        <f t="shared" si="1"/>
        <v>7000</v>
      </c>
      <c r="J32" s="115" t="s">
        <v>283</v>
      </c>
      <c r="K32" s="118"/>
      <c r="L32" s="119"/>
      <c r="M32" s="119"/>
      <c r="N32" s="119"/>
      <c r="O32" s="119"/>
      <c r="P32" s="119"/>
      <c r="Q32" s="119"/>
      <c r="R32" s="119"/>
      <c r="S32" s="119"/>
      <c r="T32" s="119"/>
      <c r="U32" s="119"/>
      <c r="V32" s="119"/>
      <c r="W32" s="119">
        <f t="shared" si="2"/>
        <v>7000</v>
      </c>
    </row>
    <row r="33" spans="1:23" x14ac:dyDescent="0.2">
      <c r="A33">
        <v>4540261</v>
      </c>
      <c r="B33" t="s">
        <v>319</v>
      </c>
      <c r="C33" s="120">
        <v>66136</v>
      </c>
      <c r="D33" s="114">
        <v>32</v>
      </c>
      <c r="E33" s="115">
        <f t="shared" si="0"/>
        <v>4540261</v>
      </c>
      <c r="F33" s="116" t="s">
        <v>285</v>
      </c>
      <c r="G33" s="116" t="s">
        <v>281</v>
      </c>
      <c r="H33" s="116" t="s">
        <v>282</v>
      </c>
      <c r="I33" s="117">
        <f t="shared" si="1"/>
        <v>66136</v>
      </c>
      <c r="J33" s="115" t="s">
        <v>283</v>
      </c>
      <c r="K33" s="118"/>
      <c r="L33" s="119"/>
      <c r="M33" s="119"/>
      <c r="N33" s="119"/>
      <c r="O33" s="119"/>
      <c r="P33" s="119"/>
      <c r="Q33" s="119"/>
      <c r="R33" s="119"/>
      <c r="S33" s="119"/>
      <c r="T33" s="119"/>
      <c r="U33" s="119"/>
      <c r="V33" s="119"/>
      <c r="W33" s="119">
        <f t="shared" si="2"/>
        <v>66136</v>
      </c>
    </row>
    <row r="34" spans="1:23" x14ac:dyDescent="0.2">
      <c r="A34">
        <v>4540490</v>
      </c>
      <c r="B34" t="s">
        <v>320</v>
      </c>
      <c r="C34" s="120">
        <v>3384061</v>
      </c>
      <c r="D34" s="114">
        <v>33</v>
      </c>
      <c r="E34" s="115">
        <f t="shared" si="0"/>
        <v>4540490</v>
      </c>
      <c r="F34" s="116" t="s">
        <v>285</v>
      </c>
      <c r="G34" s="116" t="s">
        <v>281</v>
      </c>
      <c r="H34" s="116" t="s">
        <v>282</v>
      </c>
      <c r="I34" s="117">
        <f t="shared" si="1"/>
        <v>3384061</v>
      </c>
      <c r="J34" s="115" t="s">
        <v>283</v>
      </c>
      <c r="K34" s="118"/>
      <c r="L34" s="119"/>
      <c r="M34" s="119"/>
      <c r="N34" s="119"/>
      <c r="O34" s="119"/>
      <c r="P34" s="119"/>
      <c r="Q34" s="119"/>
      <c r="R34" s="119"/>
      <c r="S34" s="119"/>
      <c r="T34" s="119"/>
      <c r="U34" s="119"/>
      <c r="V34" s="119"/>
      <c r="W34" s="119">
        <f t="shared" si="2"/>
        <v>3384061</v>
      </c>
    </row>
    <row r="35" spans="1:23" x14ac:dyDescent="0.2">
      <c r="A35">
        <v>4540502</v>
      </c>
      <c r="B35" t="s">
        <v>321</v>
      </c>
      <c r="C35" s="120">
        <v>21358</v>
      </c>
      <c r="D35" s="114">
        <v>34</v>
      </c>
      <c r="E35" s="115">
        <f t="shared" si="0"/>
        <v>4540502</v>
      </c>
      <c r="F35" s="116" t="s">
        <v>285</v>
      </c>
      <c r="G35" s="116" t="s">
        <v>281</v>
      </c>
      <c r="H35" s="116" t="s">
        <v>282</v>
      </c>
      <c r="I35" s="117">
        <f t="shared" si="1"/>
        <v>21358</v>
      </c>
      <c r="J35" s="115" t="s">
        <v>283</v>
      </c>
      <c r="K35" s="118"/>
      <c r="L35" s="119"/>
      <c r="M35" s="119"/>
      <c r="N35" s="119"/>
      <c r="O35" s="119"/>
      <c r="P35" s="119"/>
      <c r="Q35" s="119"/>
      <c r="R35" s="119"/>
      <c r="S35" s="119"/>
      <c r="T35" s="119"/>
      <c r="U35" s="119"/>
      <c r="V35" s="119"/>
      <c r="W35" s="119">
        <f t="shared" si="2"/>
        <v>21358</v>
      </c>
    </row>
    <row r="36" spans="1:23" x14ac:dyDescent="0.2">
      <c r="A36">
        <v>4540521</v>
      </c>
      <c r="B36" t="s">
        <v>322</v>
      </c>
      <c r="C36" s="120">
        <v>4000</v>
      </c>
      <c r="D36" s="114">
        <v>35</v>
      </c>
      <c r="E36" s="115">
        <f t="shared" si="0"/>
        <v>4540521</v>
      </c>
      <c r="F36" s="116" t="s">
        <v>285</v>
      </c>
      <c r="G36" s="116" t="s">
        <v>281</v>
      </c>
      <c r="H36" s="116" t="s">
        <v>282</v>
      </c>
      <c r="I36" s="117">
        <f t="shared" si="1"/>
        <v>4000</v>
      </c>
      <c r="J36" s="115" t="s">
        <v>283</v>
      </c>
      <c r="K36" s="118"/>
      <c r="L36" s="119"/>
      <c r="M36" s="119"/>
      <c r="N36" s="119"/>
      <c r="O36" s="119"/>
      <c r="P36" s="119"/>
      <c r="Q36" s="119"/>
      <c r="R36" s="119"/>
      <c r="S36" s="119"/>
      <c r="T36" s="119"/>
      <c r="U36" s="119"/>
      <c r="V36" s="119"/>
      <c r="W36" s="119">
        <f t="shared" si="2"/>
        <v>4000</v>
      </c>
    </row>
    <row r="37" spans="1:23" x14ac:dyDescent="0.2">
      <c r="A37">
        <v>4540541</v>
      </c>
      <c r="B37" t="s">
        <v>323</v>
      </c>
      <c r="C37" s="120">
        <v>7000</v>
      </c>
      <c r="D37" s="114">
        <v>36</v>
      </c>
      <c r="E37" s="115">
        <f t="shared" si="0"/>
        <v>4540541</v>
      </c>
      <c r="F37" s="116" t="s">
        <v>285</v>
      </c>
      <c r="G37" s="116" t="s">
        <v>281</v>
      </c>
      <c r="H37" s="116" t="s">
        <v>282</v>
      </c>
      <c r="I37" s="117">
        <f t="shared" si="1"/>
        <v>7000</v>
      </c>
      <c r="J37" s="115" t="s">
        <v>283</v>
      </c>
      <c r="K37" s="118"/>
      <c r="L37" s="119"/>
      <c r="M37" s="119"/>
      <c r="N37" s="119"/>
      <c r="O37" s="119"/>
      <c r="P37" s="119"/>
      <c r="Q37" s="119"/>
      <c r="R37" s="119"/>
      <c r="S37" s="119"/>
      <c r="T37" s="119"/>
      <c r="U37" s="119"/>
      <c r="V37" s="119"/>
      <c r="W37" s="119">
        <f t="shared" si="2"/>
        <v>7000</v>
      </c>
    </row>
    <row r="38" spans="1:23" x14ac:dyDescent="0.2">
      <c r="A38">
        <v>4540606</v>
      </c>
      <c r="B38" t="s">
        <v>324</v>
      </c>
      <c r="C38" s="120">
        <v>29500</v>
      </c>
      <c r="D38" s="114">
        <v>37</v>
      </c>
      <c r="E38" s="115">
        <f t="shared" si="0"/>
        <v>4540606</v>
      </c>
      <c r="F38" s="116" t="s">
        <v>285</v>
      </c>
      <c r="G38" s="116" t="s">
        <v>281</v>
      </c>
      <c r="H38" s="116" t="s">
        <v>282</v>
      </c>
      <c r="I38" s="117">
        <f t="shared" si="1"/>
        <v>29500</v>
      </c>
      <c r="J38" s="115" t="s">
        <v>283</v>
      </c>
      <c r="K38" s="118"/>
      <c r="L38" s="119"/>
      <c r="M38" s="119"/>
      <c r="N38" s="119"/>
      <c r="O38" s="119"/>
      <c r="P38" s="119"/>
      <c r="Q38" s="119"/>
      <c r="R38" s="119"/>
      <c r="S38" s="119"/>
      <c r="T38" s="119"/>
      <c r="U38" s="119"/>
      <c r="V38" s="119"/>
      <c r="W38" s="119">
        <f t="shared" si="2"/>
        <v>29500</v>
      </c>
    </row>
    <row r="39" spans="1:23" x14ac:dyDescent="0.2">
      <c r="A39">
        <v>4540653</v>
      </c>
      <c r="B39" t="s">
        <v>325</v>
      </c>
      <c r="C39" s="120">
        <v>1147443</v>
      </c>
      <c r="D39" s="114">
        <v>38</v>
      </c>
      <c r="E39" s="115">
        <f t="shared" si="0"/>
        <v>4540653</v>
      </c>
      <c r="F39" s="116" t="s">
        <v>285</v>
      </c>
      <c r="G39" s="116" t="s">
        <v>281</v>
      </c>
      <c r="H39" s="116" t="s">
        <v>282</v>
      </c>
      <c r="I39" s="117">
        <f t="shared" si="1"/>
        <v>1147443</v>
      </c>
      <c r="J39" s="115" t="s">
        <v>283</v>
      </c>
      <c r="K39" s="118"/>
      <c r="L39" s="119"/>
      <c r="M39" s="119"/>
      <c r="N39" s="119"/>
      <c r="O39" s="119"/>
      <c r="P39" s="119"/>
      <c r="Q39" s="119"/>
      <c r="R39" s="119"/>
      <c r="S39" s="119"/>
      <c r="T39" s="119"/>
      <c r="U39" s="119"/>
      <c r="V39" s="119"/>
      <c r="W39" s="119">
        <f t="shared" si="2"/>
        <v>1147443</v>
      </c>
    </row>
    <row r="40" spans="1:23" x14ac:dyDescent="0.2">
      <c r="A40">
        <v>4540706</v>
      </c>
      <c r="B40" t="s">
        <v>326</v>
      </c>
      <c r="C40" s="120">
        <v>35000</v>
      </c>
      <c r="D40" s="114">
        <v>39</v>
      </c>
      <c r="E40" s="115">
        <f t="shared" si="0"/>
        <v>4540706</v>
      </c>
      <c r="F40" s="116" t="s">
        <v>285</v>
      </c>
      <c r="G40" s="116" t="s">
        <v>281</v>
      </c>
      <c r="H40" s="116" t="s">
        <v>282</v>
      </c>
      <c r="I40" s="117">
        <f t="shared" si="1"/>
        <v>35000</v>
      </c>
      <c r="J40" s="115" t="s">
        <v>283</v>
      </c>
      <c r="K40" s="118"/>
      <c r="L40" s="119"/>
      <c r="M40" s="119"/>
      <c r="N40" s="119"/>
      <c r="O40" s="119"/>
      <c r="P40" s="119"/>
      <c r="Q40" s="119"/>
      <c r="R40" s="119"/>
      <c r="S40" s="119"/>
      <c r="T40" s="119"/>
      <c r="U40" s="119"/>
      <c r="V40" s="119"/>
      <c r="W40" s="119">
        <f t="shared" si="2"/>
        <v>35000</v>
      </c>
    </row>
    <row r="41" spans="1:23" x14ac:dyDescent="0.2">
      <c r="A41">
        <v>4540707</v>
      </c>
      <c r="B41" t="s">
        <v>327</v>
      </c>
      <c r="C41" s="120">
        <v>40000</v>
      </c>
      <c r="D41" s="114">
        <v>40</v>
      </c>
      <c r="E41" s="115">
        <f t="shared" si="0"/>
        <v>4540707</v>
      </c>
      <c r="F41" s="116" t="s">
        <v>285</v>
      </c>
      <c r="G41" s="116" t="s">
        <v>281</v>
      </c>
      <c r="H41" s="116" t="s">
        <v>282</v>
      </c>
      <c r="I41" s="117">
        <f t="shared" si="1"/>
        <v>40000</v>
      </c>
      <c r="J41" s="115" t="s">
        <v>283</v>
      </c>
      <c r="K41" s="118"/>
      <c r="L41" s="119"/>
      <c r="M41" s="119"/>
      <c r="N41" s="119"/>
      <c r="O41" s="119"/>
      <c r="P41" s="119"/>
      <c r="Q41" s="119"/>
      <c r="R41" s="119"/>
      <c r="S41" s="119"/>
      <c r="T41" s="119"/>
      <c r="U41" s="119"/>
      <c r="V41" s="119"/>
      <c r="W41" s="119">
        <f t="shared" si="2"/>
        <v>40000</v>
      </c>
    </row>
    <row r="42" spans="1:23" x14ac:dyDescent="0.2">
      <c r="A42">
        <v>4540853</v>
      </c>
      <c r="B42" t="s">
        <v>328</v>
      </c>
      <c r="C42" s="120">
        <v>20000</v>
      </c>
      <c r="D42" s="114">
        <v>41</v>
      </c>
      <c r="E42" s="115">
        <f t="shared" si="0"/>
        <v>4540853</v>
      </c>
      <c r="F42" s="116" t="s">
        <v>285</v>
      </c>
      <c r="G42" s="116" t="s">
        <v>281</v>
      </c>
      <c r="H42" s="116" t="s">
        <v>282</v>
      </c>
      <c r="I42" s="117">
        <f t="shared" si="1"/>
        <v>20000</v>
      </c>
      <c r="J42" s="115" t="s">
        <v>283</v>
      </c>
      <c r="K42" s="118"/>
      <c r="L42" s="119"/>
      <c r="M42" s="119"/>
      <c r="N42" s="119"/>
      <c r="O42" s="119"/>
      <c r="P42" s="119"/>
      <c r="Q42" s="119"/>
      <c r="R42" s="119"/>
      <c r="S42" s="119"/>
      <c r="T42" s="119"/>
      <c r="U42" s="119"/>
      <c r="V42" s="119"/>
      <c r="W42" s="119">
        <f t="shared" si="2"/>
        <v>20000</v>
      </c>
    </row>
    <row r="43" spans="1:23" x14ac:dyDescent="0.2">
      <c r="A43">
        <v>4540881</v>
      </c>
      <c r="B43" t="s">
        <v>329</v>
      </c>
      <c r="C43" s="120">
        <v>19898</v>
      </c>
      <c r="D43" s="114">
        <v>42</v>
      </c>
      <c r="E43" s="115">
        <f t="shared" si="0"/>
        <v>4540881</v>
      </c>
      <c r="F43" s="116" t="s">
        <v>285</v>
      </c>
      <c r="G43" s="116" t="s">
        <v>281</v>
      </c>
      <c r="H43" s="116" t="s">
        <v>282</v>
      </c>
      <c r="I43" s="117">
        <f t="shared" si="1"/>
        <v>19898</v>
      </c>
      <c r="J43" s="115" t="s">
        <v>283</v>
      </c>
      <c r="K43" s="118"/>
      <c r="L43" s="119"/>
      <c r="M43" s="119"/>
      <c r="N43" s="119"/>
      <c r="O43" s="119"/>
      <c r="P43" s="119"/>
      <c r="Q43" s="119"/>
      <c r="R43" s="119"/>
      <c r="S43" s="119"/>
      <c r="T43" s="119"/>
      <c r="U43" s="119"/>
      <c r="V43" s="119"/>
      <c r="W43" s="119">
        <f t="shared" si="2"/>
        <v>19898</v>
      </c>
    </row>
    <row r="44" spans="1:23" x14ac:dyDescent="0.2">
      <c r="A44">
        <v>4540904</v>
      </c>
      <c r="B44" t="s">
        <v>330</v>
      </c>
      <c r="C44" s="120">
        <v>3225828</v>
      </c>
      <c r="D44" s="114">
        <v>43</v>
      </c>
      <c r="E44" s="115">
        <f t="shared" si="0"/>
        <v>4540904</v>
      </c>
      <c r="F44" s="116" t="s">
        <v>285</v>
      </c>
      <c r="G44" s="116" t="s">
        <v>281</v>
      </c>
      <c r="H44" s="116" t="s">
        <v>282</v>
      </c>
      <c r="I44" s="117">
        <f t="shared" si="1"/>
        <v>3225828</v>
      </c>
      <c r="J44" s="115" t="s">
        <v>283</v>
      </c>
      <c r="K44" s="118"/>
      <c r="L44" s="119"/>
      <c r="M44" s="119"/>
      <c r="N44" s="119"/>
      <c r="O44" s="119"/>
      <c r="P44" s="119"/>
      <c r="Q44" s="119"/>
      <c r="R44" s="119"/>
      <c r="S44" s="119"/>
      <c r="T44" s="119"/>
      <c r="U44" s="119"/>
      <c r="V44" s="119"/>
      <c r="W44" s="119">
        <f t="shared" si="2"/>
        <v>3225828</v>
      </c>
    </row>
    <row r="45" spans="1:23" x14ac:dyDescent="0.2">
      <c r="A45">
        <v>4541005</v>
      </c>
      <c r="B45" t="s">
        <v>331</v>
      </c>
      <c r="C45" s="120">
        <v>621</v>
      </c>
      <c r="D45" s="114">
        <v>44</v>
      </c>
      <c r="E45" s="115">
        <f t="shared" si="0"/>
        <v>4541005</v>
      </c>
      <c r="F45" s="116" t="s">
        <v>285</v>
      </c>
      <c r="G45" s="116" t="s">
        <v>281</v>
      </c>
      <c r="H45" s="116" t="s">
        <v>282</v>
      </c>
      <c r="I45" s="117">
        <f t="shared" si="1"/>
        <v>621</v>
      </c>
      <c r="J45" s="115" t="s">
        <v>283</v>
      </c>
      <c r="K45" s="118"/>
      <c r="L45" s="119"/>
      <c r="M45" s="119"/>
      <c r="N45" s="119"/>
      <c r="O45" s="119"/>
      <c r="P45" s="119"/>
      <c r="Q45" s="119"/>
      <c r="R45" s="119"/>
      <c r="S45" s="119"/>
      <c r="T45" s="119"/>
      <c r="U45" s="119"/>
      <c r="V45" s="119"/>
      <c r="W45" s="119">
        <f t="shared" si="2"/>
        <v>621</v>
      </c>
    </row>
    <row r="46" spans="1:23" x14ac:dyDescent="0.2">
      <c r="A46">
        <v>4541106</v>
      </c>
      <c r="B46" t="s">
        <v>38</v>
      </c>
      <c r="C46" s="120">
        <v>4836919</v>
      </c>
      <c r="D46" s="114">
        <v>45</v>
      </c>
      <c r="E46" s="115">
        <f t="shared" si="0"/>
        <v>4541106</v>
      </c>
      <c r="F46" s="116" t="s">
        <v>285</v>
      </c>
      <c r="G46" s="116" t="s">
        <v>281</v>
      </c>
      <c r="H46" s="116" t="s">
        <v>282</v>
      </c>
      <c r="I46" s="117">
        <f t="shared" si="1"/>
        <v>4836919</v>
      </c>
      <c r="J46" s="115" t="s">
        <v>283</v>
      </c>
      <c r="K46" s="118"/>
      <c r="L46" s="119"/>
      <c r="M46" s="119"/>
      <c r="N46" s="119"/>
      <c r="O46" s="119"/>
      <c r="P46" s="119"/>
      <c r="Q46" s="119"/>
      <c r="R46" s="119"/>
      <c r="S46" s="119"/>
      <c r="T46" s="119"/>
      <c r="U46" s="119"/>
      <c r="V46" s="119"/>
      <c r="W46" s="119">
        <f t="shared" si="2"/>
        <v>4836919</v>
      </c>
    </row>
    <row r="47" spans="1:23" x14ac:dyDescent="0.2">
      <c r="A47">
        <v>4541142</v>
      </c>
      <c r="B47" t="s">
        <v>332</v>
      </c>
      <c r="C47" s="120">
        <v>50000</v>
      </c>
      <c r="D47" s="114">
        <v>46</v>
      </c>
      <c r="E47" s="115">
        <f t="shared" si="0"/>
        <v>4541142</v>
      </c>
      <c r="F47" s="116" t="s">
        <v>285</v>
      </c>
      <c r="G47" s="116" t="s">
        <v>281</v>
      </c>
      <c r="H47" s="116" t="s">
        <v>282</v>
      </c>
      <c r="I47" s="117">
        <f t="shared" si="1"/>
        <v>50000</v>
      </c>
      <c r="J47" s="115" t="s">
        <v>283</v>
      </c>
      <c r="K47" s="118"/>
      <c r="L47" s="119"/>
      <c r="M47" s="119"/>
      <c r="N47" s="119"/>
      <c r="O47" s="119"/>
      <c r="P47" s="119"/>
      <c r="Q47" s="119"/>
      <c r="R47" s="119"/>
      <c r="S47" s="119"/>
      <c r="T47" s="119"/>
      <c r="U47" s="119"/>
      <c r="V47" s="119"/>
      <c r="W47" s="119">
        <f t="shared" si="2"/>
        <v>50000</v>
      </c>
    </row>
    <row r="48" spans="1:23" x14ac:dyDescent="0.2">
      <c r="A48">
        <v>4541191</v>
      </c>
      <c r="B48" t="s">
        <v>333</v>
      </c>
      <c r="C48" s="120">
        <v>11948</v>
      </c>
      <c r="D48" s="114">
        <v>47</v>
      </c>
      <c r="E48" s="115">
        <f t="shared" si="0"/>
        <v>4541191</v>
      </c>
      <c r="F48" s="116" t="s">
        <v>285</v>
      </c>
      <c r="G48" s="116" t="s">
        <v>281</v>
      </c>
      <c r="H48" s="116" t="s">
        <v>282</v>
      </c>
      <c r="I48" s="117">
        <f t="shared" si="1"/>
        <v>11948</v>
      </c>
      <c r="J48" s="115" t="s">
        <v>283</v>
      </c>
      <c r="K48" s="118"/>
      <c r="L48" s="119"/>
      <c r="M48" s="119"/>
      <c r="N48" s="119"/>
      <c r="O48" s="119"/>
      <c r="P48" s="119"/>
      <c r="Q48" s="119"/>
      <c r="R48" s="119"/>
      <c r="S48" s="119"/>
      <c r="T48" s="119"/>
      <c r="U48" s="119"/>
      <c r="V48" s="119"/>
      <c r="W48" s="119">
        <f t="shared" si="2"/>
        <v>11948</v>
      </c>
    </row>
    <row r="49" spans="1:23" x14ac:dyDescent="0.2">
      <c r="A49">
        <v>4541305</v>
      </c>
      <c r="B49" t="s">
        <v>334</v>
      </c>
      <c r="C49" s="120">
        <v>10000</v>
      </c>
      <c r="D49" s="114">
        <v>48</v>
      </c>
      <c r="E49" s="115">
        <f t="shared" si="0"/>
        <v>4541305</v>
      </c>
      <c r="F49" s="116" t="s">
        <v>285</v>
      </c>
      <c r="G49" s="116" t="s">
        <v>281</v>
      </c>
      <c r="H49" s="116" t="s">
        <v>282</v>
      </c>
      <c r="I49" s="117">
        <f t="shared" si="1"/>
        <v>10000</v>
      </c>
      <c r="J49" s="115" t="s">
        <v>283</v>
      </c>
      <c r="K49" s="118"/>
      <c r="L49" s="119"/>
      <c r="M49" s="119"/>
      <c r="N49" s="119"/>
      <c r="O49" s="119"/>
      <c r="P49" s="119"/>
      <c r="Q49" s="119"/>
      <c r="R49" s="119"/>
      <c r="S49" s="119"/>
      <c r="T49" s="119"/>
      <c r="U49" s="119"/>
      <c r="V49" s="119"/>
      <c r="W49" s="119">
        <f t="shared" si="2"/>
        <v>10000</v>
      </c>
    </row>
    <row r="50" spans="1:23" x14ac:dyDescent="0.2">
      <c r="A50">
        <v>4541420</v>
      </c>
      <c r="B50" t="s">
        <v>35</v>
      </c>
      <c r="C50" s="120">
        <v>6120665</v>
      </c>
      <c r="D50" s="114">
        <v>49</v>
      </c>
      <c r="E50" s="115">
        <f t="shared" si="0"/>
        <v>4541420</v>
      </c>
      <c r="F50" s="116" t="s">
        <v>285</v>
      </c>
      <c r="G50" s="116" t="s">
        <v>281</v>
      </c>
      <c r="H50" s="116" t="s">
        <v>282</v>
      </c>
      <c r="I50" s="117">
        <f t="shared" si="1"/>
        <v>6120665</v>
      </c>
      <c r="J50" s="115" t="s">
        <v>283</v>
      </c>
      <c r="K50" s="118"/>
      <c r="L50" s="119"/>
      <c r="M50" s="119"/>
      <c r="N50" s="119"/>
      <c r="O50" s="119"/>
      <c r="P50" s="119"/>
      <c r="Q50" s="119"/>
      <c r="R50" s="119"/>
      <c r="S50" s="119"/>
      <c r="T50" s="119"/>
      <c r="U50" s="119"/>
      <c r="V50" s="119"/>
      <c r="W50" s="119">
        <f t="shared" si="2"/>
        <v>6120665</v>
      </c>
    </row>
    <row r="51" spans="1:23" x14ac:dyDescent="0.2">
      <c r="A51">
        <v>4541430</v>
      </c>
      <c r="B51" t="s">
        <v>44</v>
      </c>
      <c r="C51" s="120">
        <v>700000</v>
      </c>
      <c r="D51" s="114">
        <v>50</v>
      </c>
      <c r="E51" s="115">
        <f t="shared" si="0"/>
        <v>4541430</v>
      </c>
      <c r="F51" s="116" t="s">
        <v>285</v>
      </c>
      <c r="G51" s="116" t="s">
        <v>281</v>
      </c>
      <c r="H51" s="116" t="s">
        <v>282</v>
      </c>
      <c r="I51" s="117">
        <f t="shared" si="1"/>
        <v>700000</v>
      </c>
      <c r="J51" s="115" t="s">
        <v>283</v>
      </c>
      <c r="K51" s="118"/>
      <c r="L51" s="119"/>
      <c r="M51" s="119"/>
      <c r="N51" s="119"/>
      <c r="O51" s="119"/>
      <c r="P51" s="119"/>
      <c r="Q51" s="119"/>
      <c r="R51" s="119"/>
      <c r="S51" s="119"/>
      <c r="T51" s="119"/>
      <c r="U51" s="119"/>
      <c r="V51" s="119"/>
      <c r="W51" s="119">
        <f t="shared" si="2"/>
        <v>700000</v>
      </c>
    </row>
    <row r="52" spans="1:23" x14ac:dyDescent="0.2">
      <c r="A52">
        <v>4541532</v>
      </c>
      <c r="B52" t="s">
        <v>335</v>
      </c>
      <c r="C52" s="120">
        <v>153257</v>
      </c>
      <c r="D52" s="114">
        <v>51</v>
      </c>
      <c r="E52" s="115">
        <f t="shared" si="0"/>
        <v>4541532</v>
      </c>
      <c r="F52" s="116" t="s">
        <v>285</v>
      </c>
      <c r="G52" s="116" t="s">
        <v>281</v>
      </c>
      <c r="H52" s="116" t="s">
        <v>282</v>
      </c>
      <c r="I52" s="117">
        <f t="shared" si="1"/>
        <v>153257</v>
      </c>
      <c r="J52" s="115" t="s">
        <v>283</v>
      </c>
      <c r="K52" s="118"/>
      <c r="L52" s="119"/>
      <c r="M52" s="119"/>
      <c r="N52" s="119"/>
      <c r="O52" s="119"/>
      <c r="P52" s="119"/>
      <c r="Q52" s="119"/>
      <c r="R52" s="119"/>
      <c r="S52" s="119"/>
      <c r="T52" s="119"/>
      <c r="U52" s="119"/>
      <c r="V52" s="119"/>
      <c r="W52" s="119">
        <f t="shared" si="2"/>
        <v>153257</v>
      </c>
    </row>
    <row r="53" spans="1:23" x14ac:dyDescent="0.2">
      <c r="A53">
        <v>4542992</v>
      </c>
      <c r="B53" t="s">
        <v>336</v>
      </c>
      <c r="C53" s="120">
        <v>1534322</v>
      </c>
      <c r="D53" s="114">
        <v>52</v>
      </c>
      <c r="E53" s="115">
        <f t="shared" si="0"/>
        <v>4542992</v>
      </c>
      <c r="F53" s="116" t="s">
        <v>285</v>
      </c>
      <c r="G53" s="116" t="s">
        <v>281</v>
      </c>
      <c r="H53" s="116" t="s">
        <v>282</v>
      </c>
      <c r="I53" s="117">
        <f t="shared" si="1"/>
        <v>1534322</v>
      </c>
      <c r="J53" s="115" t="s">
        <v>283</v>
      </c>
      <c r="K53" s="118"/>
      <c r="L53" s="119"/>
      <c r="M53" s="119"/>
      <c r="N53" s="119"/>
      <c r="O53" s="119"/>
      <c r="P53" s="119"/>
      <c r="Q53" s="119"/>
      <c r="R53" s="119"/>
      <c r="S53" s="119"/>
      <c r="T53" s="119"/>
      <c r="U53" s="119"/>
      <c r="V53" s="119"/>
      <c r="W53" s="119">
        <f t="shared" si="2"/>
        <v>1534322</v>
      </c>
    </row>
    <row r="54" spans="1:23" x14ac:dyDescent="0.2">
      <c r="A54">
        <v>4542993</v>
      </c>
      <c r="B54" t="s">
        <v>337</v>
      </c>
      <c r="C54" s="120">
        <v>30000</v>
      </c>
      <c r="D54" s="114">
        <v>53</v>
      </c>
      <c r="E54" s="115">
        <f t="shared" si="0"/>
        <v>4542993</v>
      </c>
      <c r="F54" s="116" t="s">
        <v>285</v>
      </c>
      <c r="G54" s="116" t="s">
        <v>281</v>
      </c>
      <c r="H54" s="116" t="s">
        <v>282</v>
      </c>
      <c r="I54" s="117">
        <f t="shared" si="1"/>
        <v>30000</v>
      </c>
      <c r="J54" s="115" t="s">
        <v>283</v>
      </c>
      <c r="K54" s="118"/>
      <c r="L54" s="119"/>
      <c r="M54" s="119"/>
      <c r="N54" s="119"/>
      <c r="O54" s="119"/>
      <c r="P54" s="119"/>
      <c r="Q54" s="119"/>
      <c r="R54" s="119"/>
      <c r="S54" s="119"/>
      <c r="T54" s="119"/>
      <c r="U54" s="119"/>
      <c r="V54" s="119"/>
      <c r="W54" s="119">
        <f t="shared" si="2"/>
        <v>30000</v>
      </c>
    </row>
    <row r="55" spans="1:23" x14ac:dyDescent="0.2">
      <c r="A55">
        <v>4548300</v>
      </c>
      <c r="B55" t="s">
        <v>338</v>
      </c>
      <c r="C55" s="120">
        <v>405856</v>
      </c>
      <c r="D55" s="114">
        <v>54</v>
      </c>
      <c r="E55" s="115">
        <f t="shared" si="0"/>
        <v>4548300</v>
      </c>
      <c r="F55" s="116" t="s">
        <v>285</v>
      </c>
      <c r="G55" s="116" t="s">
        <v>281</v>
      </c>
      <c r="H55" s="116" t="s">
        <v>282</v>
      </c>
      <c r="I55" s="117">
        <f t="shared" si="1"/>
        <v>405856</v>
      </c>
      <c r="J55" s="115" t="s">
        <v>283</v>
      </c>
      <c r="K55" s="118"/>
      <c r="L55" s="119"/>
      <c r="M55" s="119"/>
      <c r="N55" s="119"/>
      <c r="O55" s="119"/>
      <c r="P55" s="119"/>
      <c r="Q55" s="119"/>
      <c r="R55" s="119"/>
      <c r="S55" s="119"/>
      <c r="T55" s="119"/>
      <c r="U55" s="119"/>
      <c r="V55" s="119"/>
      <c r="W55" s="119">
        <f t="shared" si="2"/>
        <v>405856</v>
      </c>
    </row>
    <row r="56" spans="1:23" x14ac:dyDescent="0.2">
      <c r="A56">
        <v>4548308</v>
      </c>
      <c r="B56" t="s">
        <v>339</v>
      </c>
      <c r="C56" s="120">
        <v>10000</v>
      </c>
      <c r="D56" s="114">
        <v>55</v>
      </c>
      <c r="E56" s="115">
        <f t="shared" si="0"/>
        <v>4548308</v>
      </c>
      <c r="F56" s="116" t="s">
        <v>285</v>
      </c>
      <c r="G56" s="116" t="s">
        <v>281</v>
      </c>
      <c r="H56" s="116" t="s">
        <v>282</v>
      </c>
      <c r="I56" s="117">
        <f t="shared" si="1"/>
        <v>10000</v>
      </c>
      <c r="J56" s="115" t="s">
        <v>283</v>
      </c>
      <c r="K56" s="118"/>
      <c r="L56" s="119"/>
      <c r="M56" s="119"/>
      <c r="N56" s="119"/>
      <c r="O56" s="119"/>
      <c r="P56" s="119"/>
      <c r="Q56" s="119"/>
      <c r="R56" s="119"/>
      <c r="S56" s="119"/>
      <c r="T56" s="119"/>
      <c r="U56" s="119"/>
      <c r="V56" s="119"/>
      <c r="W56" s="119">
        <f t="shared" si="2"/>
        <v>10000</v>
      </c>
    </row>
    <row r="57" spans="1:23" x14ac:dyDescent="0.2">
      <c r="A57">
        <v>4548310</v>
      </c>
      <c r="B57" t="s">
        <v>340</v>
      </c>
      <c r="C57" s="120">
        <v>10000</v>
      </c>
      <c r="D57" s="114">
        <v>56</v>
      </c>
      <c r="E57" s="115">
        <f t="shared" si="0"/>
        <v>4548310</v>
      </c>
      <c r="F57" s="116" t="s">
        <v>285</v>
      </c>
      <c r="G57" s="116" t="s">
        <v>281</v>
      </c>
      <c r="H57" s="116" t="s">
        <v>282</v>
      </c>
      <c r="I57" s="117">
        <f t="shared" si="1"/>
        <v>10000</v>
      </c>
      <c r="J57" s="115" t="s">
        <v>283</v>
      </c>
      <c r="K57" s="118"/>
      <c r="L57" s="119"/>
      <c r="M57" s="119"/>
      <c r="N57" s="119"/>
      <c r="O57" s="119"/>
      <c r="P57" s="119"/>
      <c r="Q57" s="119"/>
      <c r="R57" s="119"/>
      <c r="S57" s="119"/>
      <c r="T57" s="119"/>
      <c r="U57" s="119"/>
      <c r="V57" s="119"/>
      <c r="W57" s="119">
        <f t="shared" si="2"/>
        <v>10000</v>
      </c>
    </row>
    <row r="58" spans="1:23" x14ac:dyDescent="0.2">
      <c r="A58">
        <v>4548311</v>
      </c>
      <c r="B58" t="s">
        <v>341</v>
      </c>
      <c r="C58" s="120">
        <v>120000</v>
      </c>
      <c r="D58" s="114">
        <v>57</v>
      </c>
      <c r="E58" s="115">
        <f t="shared" si="0"/>
        <v>4548311</v>
      </c>
      <c r="F58" s="116" t="s">
        <v>285</v>
      </c>
      <c r="G58" s="116" t="s">
        <v>281</v>
      </c>
      <c r="H58" s="116" t="s">
        <v>282</v>
      </c>
      <c r="I58" s="117">
        <f t="shared" si="1"/>
        <v>120000</v>
      </c>
      <c r="J58" s="115" t="s">
        <v>283</v>
      </c>
      <c r="K58" s="118"/>
      <c r="L58" s="119"/>
      <c r="M58" s="119"/>
      <c r="N58" s="119"/>
      <c r="O58" s="119"/>
      <c r="P58" s="119"/>
      <c r="Q58" s="119"/>
      <c r="R58" s="119"/>
      <c r="S58" s="119"/>
      <c r="T58" s="119"/>
      <c r="U58" s="119"/>
      <c r="V58" s="119"/>
      <c r="W58" s="119">
        <f t="shared" si="2"/>
        <v>120000</v>
      </c>
    </row>
    <row r="59" spans="1:23" x14ac:dyDescent="0.2">
      <c r="A59">
        <v>4548314</v>
      </c>
      <c r="B59" t="s">
        <v>342</v>
      </c>
      <c r="C59" s="120">
        <v>6000</v>
      </c>
      <c r="D59" s="114">
        <v>58</v>
      </c>
      <c r="E59" s="115">
        <f t="shared" si="0"/>
        <v>4548314</v>
      </c>
      <c r="F59" s="116" t="s">
        <v>285</v>
      </c>
      <c r="G59" s="116" t="s">
        <v>281</v>
      </c>
      <c r="H59" s="116" t="s">
        <v>282</v>
      </c>
      <c r="I59" s="117">
        <f t="shared" si="1"/>
        <v>6000</v>
      </c>
      <c r="J59" s="115" t="s">
        <v>283</v>
      </c>
      <c r="K59" s="118"/>
      <c r="L59" s="119"/>
      <c r="M59" s="119"/>
      <c r="N59" s="119"/>
      <c r="O59" s="119"/>
      <c r="P59" s="119"/>
      <c r="Q59" s="119"/>
      <c r="R59" s="119"/>
      <c r="S59" s="119"/>
      <c r="T59" s="119"/>
      <c r="U59" s="119"/>
      <c r="V59" s="119"/>
      <c r="W59" s="119">
        <f t="shared" si="2"/>
        <v>6000</v>
      </c>
    </row>
  </sheetData>
  <sheetProtection algorithmName="SHA-512" hashValue="46P7kpxxo335F7CT9nUkTOQ0MU2XTHoNMftWwR5rssSRZ8tKoElr4tE1agZ/IKQ3TOkAR7HLVUvbkuznWkRbcQ==" saltValue="uBJTDvvSDVjBtHT1kAp3QA==" spinCount="100000" sheet="1" objects="1" scenarios="1" selectLockedCells="1" selectUnlockedCells="1"/>
  <sortState xmlns:xlrd2="http://schemas.microsoft.com/office/spreadsheetml/2017/richdata2" ref="A41:C105">
    <sortCondition ref="A41:A105"/>
  </sortState>
  <dataValidations count="7">
    <dataValidation type="list" allowBlank="1" showInputMessage="1" showErrorMessage="1" sqref="J3:J59" xr:uid="{B1330CAF-A01E-4852-9B76-942DDBC5B191}">
      <formula1>$U$2:$U$6</formula1>
    </dataValidation>
    <dataValidation type="textLength" operator="equal" allowBlank="1" showInputMessage="1" showErrorMessage="1" errorTitle="Error" error="The Project must be 6 _x000a_characters long." sqref="H3:H59" xr:uid="{84150E34-1E60-4E3F-AE80-3B14DC9DFE3D}">
      <formula1>6</formula1>
    </dataValidation>
    <dataValidation type="textLength" operator="equal" allowBlank="1" showInputMessage="1" showErrorMessage="1" errorTitle="Error" error="The Geographic must be 2 _x000a_characters long." sqref="G3:G59" xr:uid="{CCDC548B-C108-451A-AD08-2515627FFFB3}">
      <formula1>2</formula1>
    </dataValidation>
    <dataValidation type="textLength" operator="equal" allowBlank="1" showInputMessage="1" showErrorMessage="1" errorTitle="Error" error="The Subjective must be 6 _x000a_characters long." sqref="H2" xr:uid="{E1602D54-C79F-4763-A0C0-89A1CC658E18}">
      <formula1>6</formula1>
    </dataValidation>
    <dataValidation type="textLength" operator="equal" allowBlank="1" showInputMessage="1" showErrorMessage="1" errorTitle="Error" error="The Subjective must be 2 _x000a_characters long." sqref="G2" xr:uid="{387465FA-4AA0-4D6E-ADEB-45F6D90590AE}">
      <formula1>2</formula1>
    </dataValidation>
    <dataValidation type="textLength" operator="equal" allowBlank="1" showInputMessage="1" showErrorMessage="1" errorTitle="Error" error="The Subjective must be 5 _x000a_characters long." sqref="F2:F59" xr:uid="{6543CF22-20C4-474E-99D2-7D3642932660}">
      <formula1>5</formula1>
    </dataValidation>
    <dataValidation type="textLength" operator="equal" allowBlank="1" showInputMessage="1" showErrorMessage="1" errorTitle="Error" error="The Cost Centre must be 7 characters long." sqref="E3:E59" xr:uid="{B51ED473-8686-4CDF-B058-39DBE318ACA8}">
      <formula1>7</formula1>
    </dataValidation>
  </dataValidation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FINAL 21-22</vt:lpstr>
      <vt:lpstr> Summary 21-22</vt:lpstr>
      <vt:lpstr>Financing</vt:lpstr>
      <vt:lpstr>Original Budget Upload</vt:lpstr>
      <vt:lpstr>Cf Budget Upload </vt:lpstr>
      <vt:lpstr>Financing!Print_Area</vt:lpstr>
    </vt:vector>
  </TitlesOfParts>
  <Company>Lancashire Constabulary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13202</dc:creator>
  <cp:lastModifiedBy>Robertson, Amy</cp:lastModifiedBy>
  <cp:lastPrinted>2021-02-18T15:51:25Z</cp:lastPrinted>
  <dcterms:created xsi:type="dcterms:W3CDTF">2020-11-04T11:03:49Z</dcterms:created>
  <dcterms:modified xsi:type="dcterms:W3CDTF">2022-09-07T08:29:51Z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199e5ce-74b9-4f55-9a70-2eed142e80cb_Enabled">
    <vt:lpwstr>True</vt:lpwstr>
  </property>
  <property fmtid="{D5CDD505-2E9C-101B-9397-08002B2CF9AE}" pid="3" name="MSIP_Label_f199e5ce-74b9-4f55-9a70-2eed142e80cb_SiteId">
    <vt:lpwstr>5c524f10-3c77-423d-8c82-842fc2a22afb</vt:lpwstr>
  </property>
  <property fmtid="{D5CDD505-2E9C-101B-9397-08002B2CF9AE}" pid="4" name="MSIP_Label_f199e5ce-74b9-4f55-9a70-2eed142e80cb_Owner">
    <vt:lpwstr>Dan.Rogers@lancashire.police.uk</vt:lpwstr>
  </property>
  <property fmtid="{D5CDD505-2E9C-101B-9397-08002B2CF9AE}" pid="5" name="MSIP_Label_f199e5ce-74b9-4f55-9a70-2eed142e80cb_SetDate">
    <vt:lpwstr>2020-12-02T17:13:31.5275139Z</vt:lpwstr>
  </property>
  <property fmtid="{D5CDD505-2E9C-101B-9397-08002B2CF9AE}" pid="6" name="MSIP_Label_f199e5ce-74b9-4f55-9a70-2eed142e80cb_Name">
    <vt:lpwstr>OFFICIAL</vt:lpwstr>
  </property>
  <property fmtid="{D5CDD505-2E9C-101B-9397-08002B2CF9AE}" pid="7" name="MSIP_Label_f199e5ce-74b9-4f55-9a70-2eed142e80cb_Application">
    <vt:lpwstr>Microsoft Azure Information Protection</vt:lpwstr>
  </property>
  <property fmtid="{D5CDD505-2E9C-101B-9397-08002B2CF9AE}" pid="8" name="MSIP_Label_f199e5ce-74b9-4f55-9a70-2eed142e80cb_ActionId">
    <vt:lpwstr>3341e268-afd7-430f-ab80-b7e6f0bec2fd</vt:lpwstr>
  </property>
  <property fmtid="{D5CDD505-2E9C-101B-9397-08002B2CF9AE}" pid="9" name="MSIP_Label_f199e5ce-74b9-4f55-9a70-2eed142e80cb_Extended_MSFT_Method">
    <vt:lpwstr>Automatic</vt:lpwstr>
  </property>
  <property fmtid="{D5CDD505-2E9C-101B-9397-08002B2CF9AE}" pid="10" name="Sensitivity">
    <vt:lpwstr>OFFICIAL</vt:lpwstr>
  </property>
</Properties>
</file>